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lpharealcapital.sharepoint.com/TEMPO/Mar/Tempo/MPACs/"/>
    </mc:Choice>
  </mc:AlternateContent>
  <xr:revisionPtr revIDLastSave="2" documentId="8_{6E1C3B61-AE4B-46AA-8656-6831F027B847}" xr6:coauthVersionLast="47" xr6:coauthVersionMax="47" xr10:uidLastSave="{70565039-2995-4C9E-8B38-F9694B6A348C}"/>
  <bookViews>
    <workbookView xWindow="-120" yWindow="-120" windowWidth="29040" windowHeight="15720" activeTab="2" xr2:uid="{67DE5C73-BF2F-4D98-A39C-86616962A05C}"/>
  </bookViews>
  <sheets>
    <sheet name="Summary of performance" sheetId="9" r:id="rId1"/>
    <sheet name="Summary of risk return profiles" sheetId="11" r:id="rId2"/>
    <sheet name="Summary of alpha" sheetId="13" r:id="rId3"/>
    <sheet name="All LKO plans" sheetId="7" r:id="rId4"/>
    <sheet name="LKO &gt;100% of start level" sheetId="5" r:id="rId5"/>
    <sheet name="LKO &gt;100% summary" sheetId="14" r:id="rId6"/>
    <sheet name="LKO &gt;90% of start level" sheetId="4" r:id="rId7"/>
    <sheet name="LKO &gt;90% summary" sheetId="15" r:id="rId8"/>
    <sheet name="LKO &gt;30%-82.5% of start level" sheetId="6" r:id="rId9"/>
    <sheet name="LKO &gt;30%-82.5% summary" sheetId="16" r:id="rId10"/>
    <sheet name="LIP" sheetId="8" r:id="rId11"/>
    <sheet name="LGKO" sheetId="10" r:id="rId12"/>
  </sheets>
  <definedNames>
    <definedName name="_xlnm._FilterDatabase" localSheetId="3" hidden="1">'All LKO plans'!$A$2:$AG$31</definedName>
    <definedName name="_xlnm._FilterDatabase" localSheetId="10" hidden="1">LIP!$B$2:$S$4</definedName>
    <definedName name="_xlnm._FilterDatabase" localSheetId="4" hidden="1">'LKO &gt;100% of start level'!$A$2:$AG$11</definedName>
    <definedName name="_xlnm._FilterDatabase" localSheetId="8" hidden="1">'LKO &gt;30%-82.5% of start level'!$A$2:$AG$12</definedName>
    <definedName name="_xlnm._FilterDatabase" localSheetId="6" hidden="1">'LKO &gt;90% of start level'!$A$2:$AG$12</definedName>
  </definedNames>
  <calcPr calcId="191028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6" i="9" l="1"/>
  <c r="B18" i="16"/>
  <c r="B17" i="16"/>
  <c r="B16" i="16"/>
  <c r="B15" i="16"/>
  <c r="C14" i="16"/>
  <c r="C13" i="16"/>
  <c r="C12" i="16"/>
  <c r="B14" i="16"/>
  <c r="B13" i="16"/>
  <c r="B12" i="16"/>
  <c r="AC24" i="6"/>
  <c r="AB24" i="6"/>
  <c r="C11" i="16"/>
  <c r="B11" i="16"/>
  <c r="B10" i="16"/>
  <c r="C10" i="16"/>
  <c r="C9" i="16"/>
  <c r="B9" i="16"/>
  <c r="B8" i="16"/>
  <c r="AA14" i="5"/>
  <c r="S14" i="5"/>
  <c r="AD14" i="5" s="1"/>
  <c r="Q14" i="5"/>
  <c r="L14" i="5"/>
  <c r="T14" i="5" s="1"/>
  <c r="K14" i="5"/>
  <c r="J14" i="5"/>
  <c r="G14" i="5"/>
  <c r="B3" i="16"/>
  <c r="C3" i="16" s="1"/>
  <c r="B3" i="14"/>
  <c r="C3" i="14" s="1"/>
  <c r="C9" i="13"/>
  <c r="B9" i="13"/>
  <c r="B8" i="13"/>
  <c r="C8" i="13"/>
  <c r="C7" i="13"/>
  <c r="B7" i="13"/>
  <c r="B7" i="11"/>
  <c r="B4" i="11"/>
  <c r="B3" i="13"/>
  <c r="B12" i="11"/>
  <c r="B11" i="11"/>
  <c r="B10" i="11"/>
  <c r="B9" i="11"/>
  <c r="M3" i="4"/>
  <c r="B3" i="11"/>
  <c r="B10" i="9"/>
  <c r="B9" i="9"/>
  <c r="B8" i="9"/>
  <c r="B7" i="9"/>
  <c r="B6" i="9"/>
  <c r="B5" i="9"/>
  <c r="AG20" i="6"/>
  <c r="AA20" i="6"/>
  <c r="S20" i="6"/>
  <c r="AE20" i="6" s="1"/>
  <c r="Q20" i="6"/>
  <c r="L20" i="6"/>
  <c r="T20" i="6" s="1"/>
  <c r="K20" i="6"/>
  <c r="J20" i="6"/>
  <c r="G20" i="6"/>
  <c r="AB49" i="7"/>
  <c r="AC48" i="7"/>
  <c r="AB48" i="7"/>
  <c r="AC47" i="7"/>
  <c r="AB47" i="7"/>
  <c r="AA45" i="7"/>
  <c r="AA44" i="7"/>
  <c r="T45" i="7"/>
  <c r="AF45" i="7" s="1"/>
  <c r="T44" i="7"/>
  <c r="T46" i="7" s="1"/>
  <c r="AG46" i="7"/>
  <c r="AE46" i="7"/>
  <c r="AD45" i="7"/>
  <c r="AD44" i="7"/>
  <c r="AD43" i="7"/>
  <c r="AD42" i="7"/>
  <c r="AD41" i="7"/>
  <c r="AD46" i="7"/>
  <c r="AA46" i="7"/>
  <c r="Y46" i="7"/>
  <c r="X46" i="7"/>
  <c r="W46" i="7"/>
  <c r="S46" i="7"/>
  <c r="R46" i="7"/>
  <c r="Q45" i="7"/>
  <c r="Q44" i="7"/>
  <c r="Q43" i="7"/>
  <c r="Q42" i="7"/>
  <c r="Q41" i="7"/>
  <c r="M46" i="7"/>
  <c r="L46" i="7"/>
  <c r="G42" i="7"/>
  <c r="L44" i="7"/>
  <c r="L45" i="7"/>
  <c r="J46" i="7"/>
  <c r="I46" i="7"/>
  <c r="G45" i="7"/>
  <c r="G44" i="7"/>
  <c r="S45" i="7"/>
  <c r="AG45" i="7" s="1"/>
  <c r="K45" i="7"/>
  <c r="J45" i="7"/>
  <c r="AG44" i="7"/>
  <c r="AE44" i="7"/>
  <c r="U44" i="7"/>
  <c r="V44" i="7" s="1"/>
  <c r="S44" i="7"/>
  <c r="K44" i="7"/>
  <c r="J44" i="7"/>
  <c r="AF18" i="6"/>
  <c r="AG14" i="5" l="1"/>
  <c r="AE14" i="5"/>
  <c r="AB14" i="5"/>
  <c r="AC14" i="5" s="1"/>
  <c r="AF14" i="5"/>
  <c r="U14" i="5"/>
  <c r="V14" i="5" s="1"/>
  <c r="AB20" i="6"/>
  <c r="AC20" i="6" s="1"/>
  <c r="AF20" i="6"/>
  <c r="U20" i="6"/>
  <c r="V20" i="6" s="1"/>
  <c r="AD20" i="6"/>
  <c r="AB45" i="7"/>
  <c r="AC45" i="7" s="1"/>
  <c r="U45" i="7"/>
  <c r="V45" i="7" s="1"/>
  <c r="V46" i="7" s="1"/>
  <c r="AB44" i="7"/>
  <c r="AF44" i="7"/>
  <c r="AF46" i="7" s="1"/>
  <c r="AE45" i="7"/>
  <c r="AB18" i="6"/>
  <c r="AC18" i="6" s="1"/>
  <c r="U18" i="6"/>
  <c r="V18" i="6" s="1"/>
  <c r="S18" i="6"/>
  <c r="AE18" i="6" s="1"/>
  <c r="Q18" i="6"/>
  <c r="K18" i="6"/>
  <c r="J18" i="6"/>
  <c r="G18" i="6"/>
  <c r="AD40" i="7"/>
  <c r="K42" i="7"/>
  <c r="J42" i="7"/>
  <c r="AF42" i="7"/>
  <c r="AB42" i="7"/>
  <c r="AC42" i="7" s="1"/>
  <c r="U42" i="7"/>
  <c r="V42" i="7" s="1"/>
  <c r="S42" i="7"/>
  <c r="G31" i="7"/>
  <c r="AD17" i="6"/>
  <c r="AF17" i="6"/>
  <c r="AB17" i="6"/>
  <c r="AC17" i="6" s="1"/>
  <c r="U17" i="6"/>
  <c r="V17" i="6" s="1"/>
  <c r="S17" i="6"/>
  <c r="AG17" i="6" s="1"/>
  <c r="Q17" i="6"/>
  <c r="K17" i="6"/>
  <c r="J17" i="6"/>
  <c r="AF41" i="7"/>
  <c r="AB41" i="7"/>
  <c r="AC41" i="7" s="1"/>
  <c r="U41" i="7"/>
  <c r="V41" i="7" s="1"/>
  <c r="S41" i="7"/>
  <c r="J41" i="7"/>
  <c r="K41" i="7"/>
  <c r="B4" i="9"/>
  <c r="T15" i="4"/>
  <c r="U15" i="4" s="1"/>
  <c r="V15" i="4" s="1"/>
  <c r="X15" i="4" s="1"/>
  <c r="S15" i="4"/>
  <c r="AG15" i="4" s="1"/>
  <c r="Q15" i="4"/>
  <c r="K15" i="4"/>
  <c r="J15" i="4"/>
  <c r="G15" i="4"/>
  <c r="T40" i="7"/>
  <c r="U40" i="7" s="1"/>
  <c r="V40" i="7" s="1"/>
  <c r="X40" i="7" s="1"/>
  <c r="S40" i="7"/>
  <c r="AG40" i="7" s="1"/>
  <c r="Q40" i="7"/>
  <c r="K40" i="7"/>
  <c r="J40" i="7"/>
  <c r="G40" i="7"/>
  <c r="G14" i="4"/>
  <c r="G13" i="4"/>
  <c r="T39" i="7"/>
  <c r="U39" i="7" s="1"/>
  <c r="V39" i="7" s="1"/>
  <c r="X39" i="7" s="1"/>
  <c r="S39" i="7"/>
  <c r="AG39" i="7" s="1"/>
  <c r="Q39" i="7"/>
  <c r="K39" i="7"/>
  <c r="J39" i="7"/>
  <c r="G39" i="7"/>
  <c r="T38" i="7"/>
  <c r="AF38" i="7" s="1"/>
  <c r="S38" i="7"/>
  <c r="AE38" i="7" s="1"/>
  <c r="Q38" i="7"/>
  <c r="K38" i="7"/>
  <c r="J38" i="7"/>
  <c r="G38" i="7"/>
  <c r="AC30" i="6"/>
  <c r="T16" i="6"/>
  <c r="AF16" i="6" s="1"/>
  <c r="S16" i="6"/>
  <c r="AE16" i="6" s="1"/>
  <c r="Q16" i="6"/>
  <c r="K16" i="6"/>
  <c r="J16" i="6"/>
  <c r="G16" i="6"/>
  <c r="T15" i="6"/>
  <c r="AF15" i="6" s="1"/>
  <c r="S15" i="6"/>
  <c r="AE15" i="6" s="1"/>
  <c r="Q15" i="6"/>
  <c r="K15" i="6"/>
  <c r="J15" i="6"/>
  <c r="G15" i="6"/>
  <c r="T13" i="5"/>
  <c r="U13" i="5" s="1"/>
  <c r="V13" i="5" s="1"/>
  <c r="X13" i="5" s="1"/>
  <c r="S13" i="5"/>
  <c r="AG13" i="5" s="1"/>
  <c r="Q13" i="5"/>
  <c r="K13" i="5"/>
  <c r="J13" i="5"/>
  <c r="G13" i="5"/>
  <c r="S37" i="7"/>
  <c r="AE37" i="7" s="1"/>
  <c r="S36" i="7"/>
  <c r="AD36" i="7" s="1"/>
  <c r="S35" i="7"/>
  <c r="AD35" i="7" s="1"/>
  <c r="Q35" i="7"/>
  <c r="Q36" i="7"/>
  <c r="Q37" i="7"/>
  <c r="T37" i="7"/>
  <c r="U37" i="7" s="1"/>
  <c r="V37" i="7" s="1"/>
  <c r="X37" i="7" s="1"/>
  <c r="T36" i="7"/>
  <c r="U36" i="7" s="1"/>
  <c r="V36" i="7" s="1"/>
  <c r="X36" i="7" s="1"/>
  <c r="T35" i="7"/>
  <c r="U35" i="7" s="1"/>
  <c r="V35" i="7" s="1"/>
  <c r="X35" i="7" s="1"/>
  <c r="J37" i="7"/>
  <c r="K37" i="7"/>
  <c r="J36" i="7"/>
  <c r="K36" i="7"/>
  <c r="J35" i="7"/>
  <c r="K35" i="7"/>
  <c r="G36" i="7"/>
  <c r="G37" i="7"/>
  <c r="G35" i="7"/>
  <c r="T14" i="6"/>
  <c r="AF14" i="6" s="1"/>
  <c r="S14" i="6"/>
  <c r="AG14" i="6" s="1"/>
  <c r="Q14" i="6"/>
  <c r="K14" i="6"/>
  <c r="J14" i="6"/>
  <c r="G14" i="6"/>
  <c r="T13" i="6"/>
  <c r="AF13" i="6" s="1"/>
  <c r="S13" i="6"/>
  <c r="AE13" i="6" s="1"/>
  <c r="Q13" i="6"/>
  <c r="K13" i="6"/>
  <c r="J13" i="6"/>
  <c r="G13" i="6"/>
  <c r="T34" i="7"/>
  <c r="AF34" i="7" s="1"/>
  <c r="S34" i="7"/>
  <c r="AG34" i="7" s="1"/>
  <c r="Q34" i="7"/>
  <c r="K34" i="7"/>
  <c r="J34" i="7"/>
  <c r="G34" i="7"/>
  <c r="T33" i="7"/>
  <c r="AB33" i="7" s="1"/>
  <c r="AC33" i="7" s="1"/>
  <c r="S33" i="7"/>
  <c r="AD33" i="7" s="1"/>
  <c r="Q33" i="7"/>
  <c r="K33" i="7"/>
  <c r="J33" i="7"/>
  <c r="G33" i="7"/>
  <c r="AA32" i="7"/>
  <c r="T32" i="7"/>
  <c r="S32" i="7"/>
  <c r="AG32" i="7" s="1"/>
  <c r="Q32" i="7"/>
  <c r="K32" i="7"/>
  <c r="J32" i="7"/>
  <c r="G32" i="7"/>
  <c r="U46" i="7" l="1"/>
  <c r="AC44" i="7"/>
  <c r="AC46" i="7" s="1"/>
  <c r="AB46" i="7"/>
  <c r="AG42" i="7"/>
  <c r="AD39" i="7"/>
  <c r="AG18" i="6"/>
  <c r="AD18" i="6"/>
  <c r="AE42" i="7"/>
  <c r="AE17" i="6"/>
  <c r="AG15" i="6"/>
  <c r="B4" i="16"/>
  <c r="U16" i="6"/>
  <c r="V16" i="6" s="1"/>
  <c r="X16" i="6" s="1"/>
  <c r="AD16" i="6"/>
  <c r="AG16" i="6"/>
  <c r="AG41" i="7"/>
  <c r="AE41" i="7"/>
  <c r="AB15" i="4"/>
  <c r="AC15" i="4" s="1"/>
  <c r="AD15" i="4"/>
  <c r="AE15" i="4"/>
  <c r="AF15" i="4"/>
  <c r="AB40" i="7"/>
  <c r="AC40" i="7" s="1"/>
  <c r="AE40" i="7"/>
  <c r="AF40" i="7"/>
  <c r="U38" i="7"/>
  <c r="AB38" i="7"/>
  <c r="AC38" i="7" s="1"/>
  <c r="AG38" i="7"/>
  <c r="V14" i="4"/>
  <c r="U14" i="4"/>
  <c r="AB39" i="7"/>
  <c r="AD38" i="7"/>
  <c r="AE39" i="7"/>
  <c r="AF39" i="7"/>
  <c r="AB37" i="7"/>
  <c r="AC37" i="7" s="1"/>
  <c r="AB32" i="7"/>
  <c r="AC32" i="7" s="1"/>
  <c r="AE35" i="7"/>
  <c r="AG35" i="7"/>
  <c r="AB35" i="7"/>
  <c r="AC35" i="7" s="1"/>
  <c r="AF35" i="7"/>
  <c r="AF36" i="7"/>
  <c r="AB36" i="7"/>
  <c r="AC36" i="7" s="1"/>
  <c r="AF37" i="7"/>
  <c r="AD37" i="7"/>
  <c r="AG13" i="6"/>
  <c r="U14" i="6"/>
  <c r="V14" i="6" s="1"/>
  <c r="X14" i="6" s="1"/>
  <c r="U15" i="6"/>
  <c r="V15" i="6" s="1"/>
  <c r="X15" i="6" s="1"/>
  <c r="AB16" i="6"/>
  <c r="AC16" i="6" s="1"/>
  <c r="AB15" i="6"/>
  <c r="AC15" i="6" s="1"/>
  <c r="AD15" i="6"/>
  <c r="AB13" i="5"/>
  <c r="AD13" i="5"/>
  <c r="AE13" i="5"/>
  <c r="AF13" i="5"/>
  <c r="AG37" i="7"/>
  <c r="AE36" i="7"/>
  <c r="AG36" i="7"/>
  <c r="AB14" i="6"/>
  <c r="AC14" i="6" s="1"/>
  <c r="AB13" i="6"/>
  <c r="AC13" i="6" s="1"/>
  <c r="AD14" i="6"/>
  <c r="U13" i="6"/>
  <c r="V13" i="6" s="1"/>
  <c r="X13" i="6" s="1"/>
  <c r="AD13" i="6"/>
  <c r="AE14" i="6"/>
  <c r="AB34" i="7"/>
  <c r="AC34" i="7" s="1"/>
  <c r="AD34" i="7"/>
  <c r="AD32" i="7"/>
  <c r="AE33" i="7"/>
  <c r="AE32" i="7"/>
  <c r="AF33" i="7"/>
  <c r="U34" i="7"/>
  <c r="V34" i="7" s="1"/>
  <c r="X34" i="7" s="1"/>
  <c r="U32" i="7"/>
  <c r="V32" i="7" s="1"/>
  <c r="X32" i="7" s="1"/>
  <c r="AF32" i="7"/>
  <c r="U33" i="7"/>
  <c r="V33" i="7" s="1"/>
  <c r="X33" i="7" s="1"/>
  <c r="AG33" i="7"/>
  <c r="AE34" i="7"/>
  <c r="AC13" i="5" l="1"/>
  <c r="V38" i="7"/>
  <c r="V13" i="4" s="1"/>
  <c r="U13" i="4"/>
  <c r="AC39" i="7"/>
  <c r="G8" i="7"/>
  <c r="C4" i="11"/>
  <c r="X38" i="7" l="1"/>
  <c r="C11" i="11"/>
  <c r="C10" i="11"/>
  <c r="C9" i="11"/>
  <c r="P46" i="7"/>
  <c r="O46" i="7"/>
  <c r="E9" i="9"/>
  <c r="C9" i="9" s="1"/>
  <c r="S5" i="8"/>
  <c r="Q5" i="8"/>
  <c r="P5" i="8"/>
  <c r="N5" i="8"/>
  <c r="M5" i="8"/>
  <c r="L5" i="8"/>
  <c r="I5" i="8"/>
  <c r="G5" i="8"/>
  <c r="F5" i="8"/>
  <c r="B3" i="15" l="1"/>
  <c r="C3" i="15" s="1"/>
  <c r="AI31" i="7"/>
  <c r="AI30" i="7"/>
  <c r="T12" i="6"/>
  <c r="S12" i="6"/>
  <c r="AG12" i="6" s="1"/>
  <c r="Q12" i="6"/>
  <c r="K12" i="6"/>
  <c r="J12" i="6"/>
  <c r="G12" i="6"/>
  <c r="T11" i="5"/>
  <c r="S11" i="5"/>
  <c r="AG11" i="5" s="1"/>
  <c r="Q11" i="5"/>
  <c r="K11" i="5"/>
  <c r="J11" i="5"/>
  <c r="G11" i="5"/>
  <c r="S31" i="7"/>
  <c r="AE31" i="7" s="1"/>
  <c r="S30" i="7"/>
  <c r="AD30" i="7" s="1"/>
  <c r="Q31" i="7"/>
  <c r="T31" i="7"/>
  <c r="B4" i="15" l="1"/>
  <c r="B4" i="14"/>
  <c r="AB12" i="6"/>
  <c r="AC12" i="6" s="1"/>
  <c r="U12" i="6"/>
  <c r="V12" i="6" s="1"/>
  <c r="AF11" i="5"/>
  <c r="U11" i="5"/>
  <c r="V11" i="5" s="1"/>
  <c r="AF31" i="7"/>
  <c r="U31" i="7"/>
  <c r="V31" i="7" s="1"/>
  <c r="AD12" i="6"/>
  <c r="AG31" i="7"/>
  <c r="X31" i="7"/>
  <c r="AB31" i="7"/>
  <c r="AC31" i="7" s="1"/>
  <c r="AD31" i="7"/>
  <c r="AE12" i="6"/>
  <c r="X12" i="6"/>
  <c r="AF12" i="6"/>
  <c r="X11" i="5"/>
  <c r="AB11" i="5"/>
  <c r="AC11" i="5" s="1"/>
  <c r="AD11" i="5"/>
  <c r="AE11" i="5"/>
  <c r="AG30" i="7"/>
  <c r="AE30" i="7"/>
  <c r="Q30" i="7" l="1"/>
  <c r="T30" i="7"/>
  <c r="U30" i="7" s="1"/>
  <c r="V30" i="7" s="1"/>
  <c r="J31" i="7"/>
  <c r="K31" i="7"/>
  <c r="J30" i="7"/>
  <c r="K30" i="7"/>
  <c r="G30" i="7"/>
  <c r="AB30" i="7" l="1"/>
  <c r="AC30" i="7" s="1"/>
  <c r="X30" i="7"/>
  <c r="AF30" i="7"/>
  <c r="X30" i="6"/>
  <c r="Y30" i="6"/>
  <c r="Z30" i="6"/>
  <c r="X25" i="4"/>
  <c r="Y25" i="4"/>
  <c r="Z25" i="4"/>
  <c r="X24" i="5"/>
  <c r="Y24" i="5"/>
  <c r="X13" i="4" l="1"/>
  <c r="X14" i="4"/>
  <c r="Y13" i="4"/>
  <c r="Y14" i="4"/>
  <c r="Z14" i="4"/>
  <c r="Z13" i="4"/>
  <c r="Q10" i="7"/>
  <c r="AG30" i="6"/>
  <c r="AF30" i="6"/>
  <c r="AE30" i="6"/>
  <c r="AD30" i="6"/>
  <c r="AB30" i="6"/>
  <c r="AA30" i="6"/>
  <c r="W30" i="6"/>
  <c r="T30" i="6"/>
  <c r="S30" i="6"/>
  <c r="R30" i="6"/>
  <c r="Q30" i="6"/>
  <c r="P30" i="6"/>
  <c r="P6" i="6" s="1"/>
  <c r="O30" i="6"/>
  <c r="N30" i="6"/>
  <c r="M30" i="6"/>
  <c r="L30" i="6"/>
  <c r="K30" i="6"/>
  <c r="J30" i="6"/>
  <c r="I30" i="6"/>
  <c r="H30" i="6"/>
  <c r="G30" i="6"/>
  <c r="F30" i="6"/>
  <c r="F3" i="6" s="1"/>
  <c r="B30" i="6"/>
  <c r="AG25" i="4"/>
  <c r="AF25" i="4"/>
  <c r="AE25" i="4"/>
  <c r="AD25" i="4"/>
  <c r="AC25" i="4"/>
  <c r="AB25" i="4"/>
  <c r="AA25" i="4"/>
  <c r="W25" i="4"/>
  <c r="T25" i="4"/>
  <c r="S25" i="4"/>
  <c r="R25" i="4"/>
  <c r="Q25" i="4"/>
  <c r="P25" i="4"/>
  <c r="O25" i="4"/>
  <c r="N25" i="4"/>
  <c r="L25" i="4"/>
  <c r="K25" i="4"/>
  <c r="J25" i="4"/>
  <c r="I25" i="4"/>
  <c r="H25" i="4"/>
  <c r="G25" i="4"/>
  <c r="F25" i="4"/>
  <c r="F3" i="4" s="1"/>
  <c r="B25" i="4"/>
  <c r="F24" i="5"/>
  <c r="F4" i="5" s="1"/>
  <c r="G24" i="5"/>
  <c r="H24" i="5"/>
  <c r="I24" i="5"/>
  <c r="J24" i="5"/>
  <c r="K24" i="5"/>
  <c r="L24" i="5"/>
  <c r="N24" i="5"/>
  <c r="O24" i="5"/>
  <c r="O6" i="5" s="1"/>
  <c r="P24" i="5"/>
  <c r="P9" i="5" s="1"/>
  <c r="Q24" i="5"/>
  <c r="R24" i="5"/>
  <c r="S24" i="5"/>
  <c r="T24" i="5"/>
  <c r="W24" i="5"/>
  <c r="Z24" i="5"/>
  <c r="AA24" i="5"/>
  <c r="AB24" i="5"/>
  <c r="AC24" i="5"/>
  <c r="AD24" i="5"/>
  <c r="AE24" i="5"/>
  <c r="AF24" i="5"/>
  <c r="AG24" i="5"/>
  <c r="B24" i="5"/>
  <c r="J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J9" i="7"/>
  <c r="J8" i="7"/>
  <c r="J7" i="7"/>
  <c r="J6" i="7"/>
  <c r="J5" i="7"/>
  <c r="J4" i="7"/>
  <c r="J3" i="7"/>
  <c r="AI11" i="7"/>
  <c r="AI8" i="7"/>
  <c r="AI5" i="7"/>
  <c r="AI3" i="7"/>
  <c r="AI4" i="7"/>
  <c r="AI6" i="7"/>
  <c r="AI7" i="7"/>
  <c r="AI9" i="7"/>
  <c r="AI10" i="7"/>
  <c r="AI26" i="7"/>
  <c r="AI28" i="7" s="1"/>
  <c r="AI25" i="7"/>
  <c r="AI14" i="7"/>
  <c r="AI20" i="7" s="1"/>
  <c r="AI13" i="7"/>
  <c r="AI15" i="7"/>
  <c r="AI16" i="7"/>
  <c r="AI17" i="7"/>
  <c r="AI18" i="7"/>
  <c r="AI19" i="7"/>
  <c r="AI21" i="7"/>
  <c r="AI23" i="7"/>
  <c r="AI24" i="7"/>
  <c r="AI27" i="7"/>
  <c r="AI29" i="7"/>
  <c r="AI12" i="7"/>
  <c r="K13" i="4" l="1"/>
  <c r="K14" i="4"/>
  <c r="L13" i="4"/>
  <c r="L14" i="4"/>
  <c r="AG13" i="4"/>
  <c r="AG14" i="4"/>
  <c r="M13" i="4"/>
  <c r="M14" i="4"/>
  <c r="N13" i="4"/>
  <c r="N14" i="4"/>
  <c r="AA14" i="4"/>
  <c r="AA13" i="4"/>
  <c r="S14" i="4"/>
  <c r="S13" i="4"/>
  <c r="H14" i="4"/>
  <c r="H13" i="4"/>
  <c r="P14" i="4"/>
  <c r="P13" i="4"/>
  <c r="AC13" i="4"/>
  <c r="AC14" i="4"/>
  <c r="AF13" i="4"/>
  <c r="AF14" i="4"/>
  <c r="T13" i="4"/>
  <c r="T14" i="4"/>
  <c r="W13" i="4"/>
  <c r="W14" i="4"/>
  <c r="O3" i="4"/>
  <c r="O14" i="4"/>
  <c r="O13" i="4"/>
  <c r="I13" i="4"/>
  <c r="I14" i="4"/>
  <c r="Q13" i="4"/>
  <c r="Q14" i="4"/>
  <c r="AD13" i="4"/>
  <c r="AD14" i="4"/>
  <c r="AB13" i="4"/>
  <c r="AB14" i="4"/>
  <c r="J13" i="4"/>
  <c r="J14" i="4"/>
  <c r="R13" i="4"/>
  <c r="R14" i="4"/>
  <c r="AE13" i="4"/>
  <c r="AE14" i="4"/>
  <c r="AI22" i="7"/>
  <c r="F10" i="5"/>
  <c r="F6" i="5"/>
  <c r="F9" i="5"/>
  <c r="P8" i="5"/>
  <c r="F8" i="5"/>
  <c r="P10" i="5"/>
  <c r="F5" i="5"/>
  <c r="O5" i="6"/>
  <c r="O8" i="6"/>
  <c r="O11" i="6"/>
  <c r="O4" i="6"/>
  <c r="O10" i="6"/>
  <c r="O3" i="6"/>
  <c r="O21" i="6" s="1"/>
  <c r="O7" i="6"/>
  <c r="F7" i="5"/>
  <c r="O6" i="6"/>
  <c r="F3" i="5"/>
  <c r="P11" i="4"/>
  <c r="P8" i="4"/>
  <c r="P6" i="4"/>
  <c r="P3" i="4"/>
  <c r="P12" i="4"/>
  <c r="P7" i="4"/>
  <c r="P10" i="4"/>
  <c r="P4" i="4"/>
  <c r="P9" i="4"/>
  <c r="P5" i="4"/>
  <c r="P3" i="5"/>
  <c r="P15" i="5" s="1"/>
  <c r="P5" i="5"/>
  <c r="P4" i="5"/>
  <c r="P6" i="5"/>
  <c r="P7" i="5"/>
  <c r="O12" i="4"/>
  <c r="O8" i="4"/>
  <c r="O7" i="4"/>
  <c r="O11" i="4"/>
  <c r="O10" i="4"/>
  <c r="O5" i="4"/>
  <c r="O9" i="4"/>
  <c r="O6" i="4"/>
  <c r="O4" i="4"/>
  <c r="O9" i="6"/>
  <c r="P10" i="6"/>
  <c r="P7" i="6"/>
  <c r="Q6" i="4"/>
  <c r="F4" i="4"/>
  <c r="F5" i="4"/>
  <c r="F6" i="4"/>
  <c r="R6" i="4"/>
  <c r="F7" i="4"/>
  <c r="F8" i="4"/>
  <c r="F9" i="4"/>
  <c r="F10" i="4"/>
  <c r="F11" i="4"/>
  <c r="F12" i="4"/>
  <c r="P3" i="6"/>
  <c r="O5" i="5"/>
  <c r="P11" i="6"/>
  <c r="P8" i="6"/>
  <c r="P5" i="6"/>
  <c r="O8" i="5"/>
  <c r="O9" i="5"/>
  <c r="O4" i="5"/>
  <c r="P4" i="6"/>
  <c r="O3" i="5"/>
  <c r="O10" i="5"/>
  <c r="O7" i="5"/>
  <c r="P9" i="6"/>
  <c r="O15" i="5" l="1"/>
  <c r="P21" i="6"/>
  <c r="O17" i="4"/>
  <c r="P17" i="4"/>
  <c r="B8" i="11"/>
  <c r="G11" i="6"/>
  <c r="G10" i="6"/>
  <c r="G9" i="6"/>
  <c r="G8" i="6"/>
  <c r="G7" i="6"/>
  <c r="G6" i="6"/>
  <c r="G5" i="6"/>
  <c r="G4" i="6"/>
  <c r="E8" i="9"/>
  <c r="C8" i="9" s="1"/>
  <c r="S25" i="7"/>
  <c r="G4" i="7"/>
  <c r="G5" i="7"/>
  <c r="G6" i="7"/>
  <c r="G7" i="7"/>
  <c r="J4" i="6"/>
  <c r="G9" i="7"/>
  <c r="G10" i="7"/>
  <c r="G11" i="7"/>
  <c r="J5" i="6" s="1"/>
  <c r="G12" i="7"/>
  <c r="G13" i="7"/>
  <c r="G14" i="7"/>
  <c r="J6" i="6" s="1"/>
  <c r="G15" i="7"/>
  <c r="G16" i="7"/>
  <c r="G17" i="7"/>
  <c r="G18" i="7"/>
  <c r="G19" i="7"/>
  <c r="G20" i="7"/>
  <c r="J7" i="6" s="1"/>
  <c r="G21" i="7"/>
  <c r="G22" i="7"/>
  <c r="J8" i="6" s="1"/>
  <c r="G23" i="7"/>
  <c r="G24" i="7"/>
  <c r="G25" i="7"/>
  <c r="J9" i="6" s="1"/>
  <c r="G26" i="7"/>
  <c r="J10" i="6" s="1"/>
  <c r="G27" i="7"/>
  <c r="G28" i="7"/>
  <c r="J11" i="6" s="1"/>
  <c r="G29" i="7"/>
  <c r="J10" i="5" s="1"/>
  <c r="G3" i="7"/>
  <c r="T4" i="7"/>
  <c r="U4" i="7" s="1"/>
  <c r="T5" i="7"/>
  <c r="U5" i="7" s="1"/>
  <c r="V5" i="7" s="1"/>
  <c r="W3" i="6" s="1"/>
  <c r="W21" i="6" s="1"/>
  <c r="T6" i="7"/>
  <c r="U6" i="7" s="1"/>
  <c r="V6" i="7" s="1"/>
  <c r="W3" i="5" s="1"/>
  <c r="T7" i="7"/>
  <c r="U7" i="7" s="1"/>
  <c r="T8" i="7"/>
  <c r="U8" i="7" s="1"/>
  <c r="V8" i="7" s="1"/>
  <c r="W4" i="6" s="1"/>
  <c r="T9" i="7"/>
  <c r="U9" i="7" s="1"/>
  <c r="V9" i="7" s="1"/>
  <c r="W4" i="5" s="1"/>
  <c r="T10" i="7"/>
  <c r="U10" i="7" s="1"/>
  <c r="T11" i="7"/>
  <c r="U11" i="7" s="1"/>
  <c r="V11" i="7" s="1"/>
  <c r="W5" i="6" s="1"/>
  <c r="T12" i="7"/>
  <c r="U12" i="7" s="1"/>
  <c r="V12" i="7" s="1"/>
  <c r="W5" i="5" s="1"/>
  <c r="T13" i="7"/>
  <c r="U13" i="7" s="1"/>
  <c r="T14" i="7"/>
  <c r="U14" i="7" s="1"/>
  <c r="V14" i="7" s="1"/>
  <c r="W6" i="6" s="1"/>
  <c r="T15" i="7"/>
  <c r="U15" i="7" s="1"/>
  <c r="V15" i="7" s="1"/>
  <c r="W6" i="5" s="1"/>
  <c r="T16" i="7"/>
  <c r="U16" i="7" s="1"/>
  <c r="T17" i="7"/>
  <c r="U17" i="7" s="1"/>
  <c r="T18" i="7"/>
  <c r="U18" i="7" s="1"/>
  <c r="T19" i="7"/>
  <c r="U19" i="7" s="1"/>
  <c r="T20" i="7"/>
  <c r="U20" i="7" s="1"/>
  <c r="V20" i="7" s="1"/>
  <c r="W7" i="6" s="1"/>
  <c r="T21" i="7"/>
  <c r="U21" i="7" s="1"/>
  <c r="V21" i="7" s="1"/>
  <c r="W7" i="5" s="1"/>
  <c r="T22" i="7"/>
  <c r="U22" i="7" s="1"/>
  <c r="V22" i="7" s="1"/>
  <c r="W8" i="6" s="1"/>
  <c r="T23" i="7"/>
  <c r="U23" i="7" s="1"/>
  <c r="T24" i="7"/>
  <c r="U24" i="7" s="1"/>
  <c r="V24" i="7" s="1"/>
  <c r="W8" i="5" s="1"/>
  <c r="T25" i="7"/>
  <c r="U25" i="7" s="1"/>
  <c r="V25" i="7" s="1"/>
  <c r="W9" i="6" s="1"/>
  <c r="T26" i="7"/>
  <c r="U26" i="7" s="1"/>
  <c r="V26" i="7" s="1"/>
  <c r="W10" i="6" s="1"/>
  <c r="T27" i="7"/>
  <c r="U27" i="7" s="1"/>
  <c r="V27" i="7" s="1"/>
  <c r="W9" i="5" s="1"/>
  <c r="T28" i="7"/>
  <c r="U28" i="7" s="1"/>
  <c r="V28" i="7" s="1"/>
  <c r="W11" i="6" s="1"/>
  <c r="T29" i="7"/>
  <c r="U29" i="7" s="1"/>
  <c r="V29" i="7" s="1"/>
  <c r="W10" i="5" s="1"/>
  <c r="T3" i="7"/>
  <c r="U3" i="7" s="1"/>
  <c r="U3" i="4" s="1"/>
  <c r="S4" i="7"/>
  <c r="S5" i="7"/>
  <c r="S6" i="7"/>
  <c r="S7" i="7"/>
  <c r="S8" i="7"/>
  <c r="S9" i="7"/>
  <c r="S10" i="7"/>
  <c r="S11" i="7"/>
  <c r="S12" i="7"/>
  <c r="S13" i="7"/>
  <c r="S14" i="7"/>
  <c r="S15" i="7"/>
  <c r="S16" i="7"/>
  <c r="AD16" i="7" s="1"/>
  <c r="S17" i="7"/>
  <c r="S18" i="7"/>
  <c r="S19" i="7"/>
  <c r="S20" i="7"/>
  <c r="S21" i="7"/>
  <c r="S22" i="7"/>
  <c r="S23" i="7"/>
  <c r="S24" i="7"/>
  <c r="S26" i="7"/>
  <c r="S27" i="7"/>
  <c r="S28" i="7"/>
  <c r="S29" i="7"/>
  <c r="S3" i="7"/>
  <c r="Q4" i="7"/>
  <c r="Q5" i="7"/>
  <c r="Q6" i="7"/>
  <c r="Q7" i="7"/>
  <c r="Q8" i="7"/>
  <c r="Q9" i="7"/>
  <c r="Q11" i="7"/>
  <c r="Q12" i="7"/>
  <c r="Q13" i="7"/>
  <c r="Q14" i="7"/>
  <c r="Q15" i="7"/>
  <c r="Q16" i="7"/>
  <c r="Q17" i="7"/>
  <c r="Q18" i="7"/>
  <c r="Q19" i="7"/>
  <c r="Q20" i="7"/>
  <c r="Q21" i="7"/>
  <c r="Q22" i="7"/>
  <c r="Q23" i="7"/>
  <c r="Q24" i="7"/>
  <c r="Q25" i="7"/>
  <c r="R9" i="6" s="1"/>
  <c r="Q26" i="7"/>
  <c r="R10" i="6" s="1"/>
  <c r="Q27" i="7"/>
  <c r="Q28" i="7"/>
  <c r="R11" i="6" s="1"/>
  <c r="Q29" i="7"/>
  <c r="R10" i="5" s="1"/>
  <c r="Q3" i="7"/>
  <c r="K4" i="7"/>
  <c r="K5" i="7"/>
  <c r="K6" i="7"/>
  <c r="K7" i="7"/>
  <c r="K8" i="7"/>
  <c r="K9" i="7"/>
  <c r="K10" i="7"/>
  <c r="K11" i="7"/>
  <c r="K12" i="7"/>
  <c r="K13" i="7"/>
  <c r="N7" i="4" s="1"/>
  <c r="K14" i="7"/>
  <c r="N6" i="6" s="1"/>
  <c r="K15" i="7"/>
  <c r="N6" i="5" s="1"/>
  <c r="K16" i="7"/>
  <c r="K17" i="7"/>
  <c r="N9" i="4" s="1"/>
  <c r="K18" i="7"/>
  <c r="N10" i="4" s="1"/>
  <c r="K19" i="7"/>
  <c r="K20" i="7"/>
  <c r="K21" i="7"/>
  <c r="N7" i="5" s="1"/>
  <c r="K22" i="7"/>
  <c r="N8" i="6" s="1"/>
  <c r="K23" i="7"/>
  <c r="N12" i="4" s="1"/>
  <c r="K24" i="7"/>
  <c r="K25" i="7"/>
  <c r="K26" i="7"/>
  <c r="K27" i="7"/>
  <c r="K28" i="7"/>
  <c r="K29" i="7"/>
  <c r="K3" i="7"/>
  <c r="W15" i="5" l="1"/>
  <c r="V4" i="7"/>
  <c r="U4" i="4"/>
  <c r="V19" i="7"/>
  <c r="U11" i="4"/>
  <c r="V17" i="7"/>
  <c r="U9" i="4"/>
  <c r="V13" i="7"/>
  <c r="U7" i="4"/>
  <c r="V18" i="7"/>
  <c r="U10" i="4"/>
  <c r="V10" i="7"/>
  <c r="U6" i="4"/>
  <c r="V16" i="7"/>
  <c r="U8" i="4"/>
  <c r="V23" i="7"/>
  <c r="U12" i="4"/>
  <c r="V7" i="7"/>
  <c r="U5" i="4"/>
  <c r="M10" i="6"/>
  <c r="N10" i="6"/>
  <c r="I5" i="5"/>
  <c r="J5" i="5"/>
  <c r="M9" i="6"/>
  <c r="N9" i="6"/>
  <c r="M4" i="5"/>
  <c r="N4" i="5"/>
  <c r="I9" i="5"/>
  <c r="J9" i="5"/>
  <c r="I11" i="4"/>
  <c r="J11" i="4"/>
  <c r="M3" i="5"/>
  <c r="N3" i="5"/>
  <c r="I8" i="5"/>
  <c r="J8" i="5"/>
  <c r="I8" i="4"/>
  <c r="J8" i="4"/>
  <c r="I4" i="4"/>
  <c r="J4" i="4"/>
  <c r="I6" i="4"/>
  <c r="J6" i="4"/>
  <c r="M5" i="4"/>
  <c r="N5" i="4"/>
  <c r="I9" i="4"/>
  <c r="J9" i="4"/>
  <c r="I4" i="5"/>
  <c r="J4" i="5"/>
  <c r="N3" i="4"/>
  <c r="M10" i="5"/>
  <c r="N10" i="5"/>
  <c r="M3" i="6"/>
  <c r="N3" i="6"/>
  <c r="I12" i="4"/>
  <c r="J12" i="4"/>
  <c r="I6" i="5"/>
  <c r="J6" i="5"/>
  <c r="I5" i="4"/>
  <c r="J5" i="4"/>
  <c r="M8" i="4"/>
  <c r="N8" i="4"/>
  <c r="I10" i="4"/>
  <c r="J10" i="4"/>
  <c r="M11" i="6"/>
  <c r="N11" i="6"/>
  <c r="M7" i="6"/>
  <c r="N7" i="6"/>
  <c r="M5" i="5"/>
  <c r="N5" i="5"/>
  <c r="M4" i="4"/>
  <c r="N4" i="4"/>
  <c r="I3" i="4"/>
  <c r="J3" i="4"/>
  <c r="I3" i="5"/>
  <c r="J3" i="5"/>
  <c r="M6" i="4"/>
  <c r="N6" i="4"/>
  <c r="M8" i="5"/>
  <c r="N8" i="5"/>
  <c r="M4" i="6"/>
  <c r="N4" i="6"/>
  <c r="M9" i="5"/>
  <c r="N9" i="5"/>
  <c r="M11" i="4"/>
  <c r="N11" i="4"/>
  <c r="M5" i="6"/>
  <c r="N5" i="6"/>
  <c r="I7" i="5"/>
  <c r="J7" i="5"/>
  <c r="I7" i="4"/>
  <c r="J7" i="4"/>
  <c r="I3" i="6"/>
  <c r="I21" i="6" s="1"/>
  <c r="J3" i="6"/>
  <c r="J21" i="6" s="1"/>
  <c r="L10" i="4"/>
  <c r="M10" i="4"/>
  <c r="H10" i="5"/>
  <c r="I10" i="5"/>
  <c r="L12" i="4"/>
  <c r="M12" i="4"/>
  <c r="L6" i="5"/>
  <c r="M6" i="5"/>
  <c r="L9" i="4"/>
  <c r="M9" i="4"/>
  <c r="L8" i="6"/>
  <c r="M8" i="6"/>
  <c r="L6" i="6"/>
  <c r="M6" i="6"/>
  <c r="L7" i="5"/>
  <c r="M7" i="5"/>
  <c r="L7" i="4"/>
  <c r="M7" i="4"/>
  <c r="Q4" i="4"/>
  <c r="R4" i="4"/>
  <c r="K9" i="6"/>
  <c r="L9" i="6"/>
  <c r="Q7" i="6"/>
  <c r="R7" i="6"/>
  <c r="Q4" i="5"/>
  <c r="R4" i="5"/>
  <c r="G9" i="4"/>
  <c r="H9" i="4"/>
  <c r="G4" i="5"/>
  <c r="H4" i="5"/>
  <c r="G5" i="5"/>
  <c r="H5" i="5"/>
  <c r="K4" i="5"/>
  <c r="L4" i="5"/>
  <c r="G11" i="4"/>
  <c r="H11" i="4"/>
  <c r="K8" i="4"/>
  <c r="L8" i="4"/>
  <c r="Q9" i="5"/>
  <c r="R9" i="5"/>
  <c r="Q5" i="6"/>
  <c r="R5" i="6"/>
  <c r="G10" i="4"/>
  <c r="H10" i="4"/>
  <c r="G6" i="4"/>
  <c r="H6" i="4"/>
  <c r="K5" i="4"/>
  <c r="L5" i="4"/>
  <c r="Q10" i="4"/>
  <c r="R10" i="4"/>
  <c r="K3" i="4"/>
  <c r="L3" i="4"/>
  <c r="K3" i="5"/>
  <c r="L3" i="5"/>
  <c r="Q9" i="4"/>
  <c r="R9" i="4"/>
  <c r="Q4" i="6"/>
  <c r="R4" i="6"/>
  <c r="G8" i="5"/>
  <c r="H8" i="5"/>
  <c r="G8" i="4"/>
  <c r="H8" i="4"/>
  <c r="Q7" i="4"/>
  <c r="R7" i="4"/>
  <c r="G9" i="5"/>
  <c r="H9" i="5"/>
  <c r="Q8" i="4"/>
  <c r="R8" i="4"/>
  <c r="G12" i="4"/>
  <c r="H12" i="4"/>
  <c r="G6" i="5"/>
  <c r="H6" i="5"/>
  <c r="G5" i="4"/>
  <c r="H5" i="4"/>
  <c r="K6" i="4"/>
  <c r="L6" i="4"/>
  <c r="Q7" i="5"/>
  <c r="R7" i="5"/>
  <c r="Q5" i="5"/>
  <c r="R5" i="5"/>
  <c r="Q8" i="5"/>
  <c r="R8" i="5"/>
  <c r="Q5" i="4"/>
  <c r="R5" i="4"/>
  <c r="K11" i="6"/>
  <c r="L11" i="6"/>
  <c r="K7" i="6"/>
  <c r="L7" i="6"/>
  <c r="K5" i="5"/>
  <c r="L5" i="5"/>
  <c r="K4" i="4"/>
  <c r="L4" i="4"/>
  <c r="Q12" i="4"/>
  <c r="R12" i="4"/>
  <c r="Q6" i="5"/>
  <c r="R6" i="5"/>
  <c r="Q3" i="5"/>
  <c r="R3" i="5"/>
  <c r="G3" i="4"/>
  <c r="H3" i="4"/>
  <c r="G3" i="5"/>
  <c r="H3" i="5"/>
  <c r="K10" i="6"/>
  <c r="L10" i="6"/>
  <c r="G4" i="4"/>
  <c r="H4" i="4"/>
  <c r="K8" i="5"/>
  <c r="L8" i="5"/>
  <c r="K4" i="6"/>
  <c r="L4" i="6"/>
  <c r="Q11" i="4"/>
  <c r="R11" i="4"/>
  <c r="K10" i="5"/>
  <c r="L10" i="5"/>
  <c r="K3" i="6"/>
  <c r="L3" i="6"/>
  <c r="K9" i="5"/>
  <c r="L9" i="5"/>
  <c r="K11" i="4"/>
  <c r="L11" i="4"/>
  <c r="K5" i="6"/>
  <c r="L5" i="6"/>
  <c r="Q3" i="4"/>
  <c r="R3" i="4"/>
  <c r="Q8" i="6"/>
  <c r="R8" i="6"/>
  <c r="Q6" i="6"/>
  <c r="R6" i="6"/>
  <c r="Q3" i="6"/>
  <c r="R3" i="6"/>
  <c r="G7" i="5"/>
  <c r="H7" i="5"/>
  <c r="G7" i="4"/>
  <c r="H7" i="4"/>
  <c r="G3" i="6"/>
  <c r="H3" i="6"/>
  <c r="V3" i="7"/>
  <c r="V3" i="4" s="1"/>
  <c r="C3" i="11"/>
  <c r="C5" i="9"/>
  <c r="K10" i="4"/>
  <c r="Q10" i="5"/>
  <c r="K9" i="4"/>
  <c r="Q11" i="6"/>
  <c r="Q10" i="6"/>
  <c r="G10" i="5"/>
  <c r="K6" i="5"/>
  <c r="K8" i="6"/>
  <c r="K6" i="6"/>
  <c r="Q9" i="6"/>
  <c r="K12" i="4"/>
  <c r="K7" i="5"/>
  <c r="K7" i="4"/>
  <c r="AB3" i="7"/>
  <c r="T3" i="4"/>
  <c r="X3" i="7"/>
  <c r="AA3" i="4" s="1"/>
  <c r="AF14" i="7"/>
  <c r="X14" i="7"/>
  <c r="AA6" i="6" s="1"/>
  <c r="T3" i="5"/>
  <c r="AF6" i="7"/>
  <c r="X6" i="7"/>
  <c r="X29" i="7"/>
  <c r="AF29" i="7"/>
  <c r="X21" i="7"/>
  <c r="AF21" i="7"/>
  <c r="X13" i="7"/>
  <c r="AA7" i="4" s="1"/>
  <c r="AF13" i="7"/>
  <c r="T3" i="6"/>
  <c r="X5" i="7"/>
  <c r="AF5" i="7"/>
  <c r="AF22" i="7"/>
  <c r="X22" i="7"/>
  <c r="AA8" i="6" s="1"/>
  <c r="X28" i="7"/>
  <c r="AF28" i="7"/>
  <c r="X20" i="7"/>
  <c r="AA7" i="6" s="1"/>
  <c r="AF20" i="7"/>
  <c r="X12" i="7"/>
  <c r="AA5" i="5" s="1"/>
  <c r="AF12" i="7"/>
  <c r="T4" i="4"/>
  <c r="X4" i="7"/>
  <c r="AF4" i="7"/>
  <c r="AF27" i="7"/>
  <c r="X27" i="7"/>
  <c r="X19" i="7"/>
  <c r="AA11" i="4" s="1"/>
  <c r="AF19" i="7"/>
  <c r="T5" i="6"/>
  <c r="U5" i="6" s="1"/>
  <c r="V5" i="6" s="1"/>
  <c r="AF11" i="7"/>
  <c r="X11" i="7"/>
  <c r="AF26" i="7"/>
  <c r="X26" i="7"/>
  <c r="AF18" i="7"/>
  <c r="X18" i="7"/>
  <c r="AA10" i="4" s="1"/>
  <c r="T6" i="4"/>
  <c r="AF10" i="7"/>
  <c r="X10" i="7"/>
  <c r="X25" i="7"/>
  <c r="AF25" i="7"/>
  <c r="X17" i="7"/>
  <c r="AA9" i="4" s="1"/>
  <c r="AF17" i="7"/>
  <c r="T4" i="5"/>
  <c r="U4" i="5" s="1"/>
  <c r="V4" i="5" s="1"/>
  <c r="AF9" i="7"/>
  <c r="X9" i="7"/>
  <c r="AF24" i="7"/>
  <c r="X24" i="7"/>
  <c r="AF16" i="7"/>
  <c r="X16" i="7"/>
  <c r="AA8" i="4" s="1"/>
  <c r="T4" i="6"/>
  <c r="U4" i="6" s="1"/>
  <c r="V4" i="6" s="1"/>
  <c r="AF8" i="7"/>
  <c r="X8" i="7"/>
  <c r="AF23" i="7"/>
  <c r="X23" i="7"/>
  <c r="X15" i="7"/>
  <c r="AA6" i="5" s="1"/>
  <c r="AF15" i="7"/>
  <c r="T5" i="4"/>
  <c r="X7" i="7"/>
  <c r="AF7" i="7"/>
  <c r="AD8" i="7"/>
  <c r="S4" i="6"/>
  <c r="AD25" i="7"/>
  <c r="S9" i="6"/>
  <c r="T7" i="6"/>
  <c r="U7" i="6" s="1"/>
  <c r="V7" i="6" s="1"/>
  <c r="AD29" i="7"/>
  <c r="S10" i="5"/>
  <c r="S8" i="4"/>
  <c r="AG4" i="7"/>
  <c r="S4" i="4"/>
  <c r="T11" i="4"/>
  <c r="AD28" i="7"/>
  <c r="S11" i="6"/>
  <c r="AD15" i="7"/>
  <c r="S6" i="5"/>
  <c r="T10" i="4"/>
  <c r="AD9" i="7"/>
  <c r="S4" i="5"/>
  <c r="T5" i="5"/>
  <c r="U5" i="5" s="1"/>
  <c r="V5" i="5" s="1"/>
  <c r="T12" i="4"/>
  <c r="AD18" i="7"/>
  <c r="S10" i="4"/>
  <c r="T7" i="5"/>
  <c r="U7" i="5" s="1"/>
  <c r="V7" i="5" s="1"/>
  <c r="AE3" i="7"/>
  <c r="S3" i="4"/>
  <c r="AD5" i="7"/>
  <c r="S3" i="6"/>
  <c r="AD21" i="7"/>
  <c r="S7" i="5"/>
  <c r="AD19" i="7"/>
  <c r="S11" i="4"/>
  <c r="T9" i="4"/>
  <c r="AG26" i="7"/>
  <c r="S10" i="6"/>
  <c r="AG13" i="7"/>
  <c r="S7" i="4"/>
  <c r="T11" i="6"/>
  <c r="U11" i="6" s="1"/>
  <c r="V11" i="6" s="1"/>
  <c r="T8" i="4"/>
  <c r="T8" i="5"/>
  <c r="U8" i="5" s="1"/>
  <c r="V8" i="5" s="1"/>
  <c r="AD20" i="7"/>
  <c r="AD7" i="6" s="1"/>
  <c r="S7" i="6"/>
  <c r="AD7" i="7"/>
  <c r="S5" i="4"/>
  <c r="T10" i="5"/>
  <c r="U10" i="5" s="1"/>
  <c r="V10" i="5" s="1"/>
  <c r="AD24" i="7"/>
  <c r="S8" i="5"/>
  <c r="AG12" i="7"/>
  <c r="S5" i="5"/>
  <c r="T9" i="5"/>
  <c r="U9" i="5" s="1"/>
  <c r="V9" i="5" s="1"/>
  <c r="T6" i="5"/>
  <c r="U6" i="5" s="1"/>
  <c r="V6" i="5" s="1"/>
  <c r="AD17" i="7"/>
  <c r="S9" i="4"/>
  <c r="AG14" i="7"/>
  <c r="S6" i="6"/>
  <c r="AD23" i="7"/>
  <c r="S12" i="4"/>
  <c r="AD11" i="7"/>
  <c r="S5" i="6"/>
  <c r="T10" i="6"/>
  <c r="U10" i="6" s="1"/>
  <c r="V10" i="6" s="1"/>
  <c r="T6" i="6"/>
  <c r="U6" i="6" s="1"/>
  <c r="V6" i="6" s="1"/>
  <c r="T8" i="6"/>
  <c r="U8" i="6" s="1"/>
  <c r="V8" i="6" s="1"/>
  <c r="AG6" i="7"/>
  <c r="S3" i="5"/>
  <c r="AG27" i="7"/>
  <c r="S9" i="5"/>
  <c r="AG22" i="7"/>
  <c r="S8" i="6"/>
  <c r="AD10" i="7"/>
  <c r="S6" i="4"/>
  <c r="T9" i="6"/>
  <c r="U9" i="6" s="1"/>
  <c r="V9" i="6" s="1"/>
  <c r="T7" i="4"/>
  <c r="E10" i="9"/>
  <c r="AB28" i="7"/>
  <c r="AB12" i="7"/>
  <c r="AB27" i="7"/>
  <c r="AB11" i="7"/>
  <c r="AB26" i="7"/>
  <c r="AB18" i="7"/>
  <c r="AB10" i="7"/>
  <c r="AB20" i="7"/>
  <c r="AB4" i="7"/>
  <c r="AB19" i="7"/>
  <c r="AB17" i="7"/>
  <c r="AB9" i="7"/>
  <c r="AB23" i="7"/>
  <c r="AB7" i="7"/>
  <c r="AB24" i="7"/>
  <c r="AB16" i="7"/>
  <c r="AB8" i="7"/>
  <c r="AB15" i="7"/>
  <c r="AF3" i="7"/>
  <c r="AB22" i="7"/>
  <c r="AB14" i="7"/>
  <c r="AB6" i="7"/>
  <c r="AB29" i="7"/>
  <c r="AB21" i="7"/>
  <c r="AB13" i="7"/>
  <c r="AB5" i="7"/>
  <c r="AB25" i="7"/>
  <c r="AB9" i="6" s="1"/>
  <c r="AE27" i="7"/>
  <c r="AE26" i="7"/>
  <c r="AE25" i="7"/>
  <c r="AE10" i="7"/>
  <c r="AE19" i="7"/>
  <c r="AE17" i="7"/>
  <c r="AE9" i="7"/>
  <c r="AE18" i="7"/>
  <c r="AE24" i="7"/>
  <c r="AE16" i="7"/>
  <c r="AE8" i="7"/>
  <c r="AE11" i="7"/>
  <c r="AD3" i="7"/>
  <c r="AE23" i="7"/>
  <c r="AE15" i="7"/>
  <c r="AE7" i="7"/>
  <c r="AE22" i="7"/>
  <c r="AE14" i="7"/>
  <c r="AE6" i="7"/>
  <c r="AE3" i="5" s="1"/>
  <c r="AE29" i="7"/>
  <c r="AE21" i="7"/>
  <c r="AE13" i="7"/>
  <c r="AE5" i="7"/>
  <c r="AE28" i="7"/>
  <c r="AE20" i="7"/>
  <c r="AE12" i="7"/>
  <c r="AE4" i="7"/>
  <c r="AG18" i="7"/>
  <c r="AG19" i="7"/>
  <c r="AD12" i="7"/>
  <c r="AG5" i="7"/>
  <c r="AG10" i="7"/>
  <c r="AG11" i="7"/>
  <c r="AD4" i="7"/>
  <c r="AG21" i="7"/>
  <c r="AD13" i="7"/>
  <c r="AG20" i="7"/>
  <c r="AD14" i="7"/>
  <c r="AD22" i="7"/>
  <c r="AD6" i="7"/>
  <c r="AD3" i="5" s="1"/>
  <c r="AG3" i="7"/>
  <c r="AG17" i="7"/>
  <c r="AG9" i="7"/>
  <c r="AG24" i="7"/>
  <c r="AG16" i="7"/>
  <c r="AG8" i="7"/>
  <c r="AG23" i="7"/>
  <c r="AG15" i="7"/>
  <c r="AG7" i="7"/>
  <c r="AG25" i="7"/>
  <c r="AG29" i="7"/>
  <c r="AG28" i="7"/>
  <c r="AD27" i="7"/>
  <c r="AD26" i="7"/>
  <c r="B6" i="11" l="1"/>
  <c r="B5" i="11" s="1"/>
  <c r="C5" i="11" s="1"/>
  <c r="R15" i="5"/>
  <c r="U3" i="5"/>
  <c r="U15" i="5" s="1"/>
  <c r="T15" i="5"/>
  <c r="M15" i="5"/>
  <c r="S15" i="5"/>
  <c r="L15" i="5"/>
  <c r="J15" i="5"/>
  <c r="B16" i="14"/>
  <c r="B15" i="14"/>
  <c r="B17" i="14"/>
  <c r="I15" i="5"/>
  <c r="M21" i="6"/>
  <c r="S21" i="6"/>
  <c r="U3" i="6"/>
  <c r="T21" i="6"/>
  <c r="R21" i="6"/>
  <c r="L21" i="6"/>
  <c r="C13" i="13"/>
  <c r="U17" i="4"/>
  <c r="B12" i="9" s="1"/>
  <c r="W12" i="4"/>
  <c r="V12" i="4"/>
  <c r="W7" i="4"/>
  <c r="V7" i="4"/>
  <c r="W8" i="4"/>
  <c r="V8" i="4"/>
  <c r="W9" i="4"/>
  <c r="V9" i="4"/>
  <c r="W6" i="4"/>
  <c r="V6" i="4"/>
  <c r="W11" i="4"/>
  <c r="V11" i="4"/>
  <c r="W5" i="4"/>
  <c r="V5" i="4"/>
  <c r="W10" i="4"/>
  <c r="V10" i="4"/>
  <c r="W4" i="4"/>
  <c r="V4" i="4"/>
  <c r="L17" i="4"/>
  <c r="B17" i="15"/>
  <c r="C17" i="15" s="1"/>
  <c r="B16" i="15"/>
  <c r="C16" i="15" s="1"/>
  <c r="B15" i="15"/>
  <c r="C15" i="15" s="1"/>
  <c r="B7" i="15"/>
  <c r="B6" i="15"/>
  <c r="B5" i="15"/>
  <c r="B13" i="13"/>
  <c r="B6" i="14"/>
  <c r="B7" i="14"/>
  <c r="B5" i="14"/>
  <c r="C15" i="14"/>
  <c r="C17" i="14"/>
  <c r="C16" i="14"/>
  <c r="C16" i="16"/>
  <c r="C15" i="16"/>
  <c r="C17" i="16"/>
  <c r="AG6" i="5"/>
  <c r="I17" i="4"/>
  <c r="Z11" i="6"/>
  <c r="AA11" i="6"/>
  <c r="Z8" i="5"/>
  <c r="AA8" i="5"/>
  <c r="Z9" i="6"/>
  <c r="AA9" i="6"/>
  <c r="Z5" i="6"/>
  <c r="AA5" i="6"/>
  <c r="Z4" i="4"/>
  <c r="AA4" i="4"/>
  <c r="Z7" i="5"/>
  <c r="AA7" i="5"/>
  <c r="Z12" i="4"/>
  <c r="AA12" i="4"/>
  <c r="Z6" i="4"/>
  <c r="AA6" i="4"/>
  <c r="Z10" i="5"/>
  <c r="AA10" i="5"/>
  <c r="Z4" i="6"/>
  <c r="AA4" i="6"/>
  <c r="Z3" i="6"/>
  <c r="AA3" i="6"/>
  <c r="AA21" i="6" s="1"/>
  <c r="Z3" i="5"/>
  <c r="AA3" i="5"/>
  <c r="J17" i="4"/>
  <c r="Z4" i="5"/>
  <c r="AA4" i="5"/>
  <c r="AG4" i="5"/>
  <c r="Z5" i="4"/>
  <c r="AA5" i="4"/>
  <c r="Z9" i="5"/>
  <c r="AA9" i="5"/>
  <c r="AG9" i="4"/>
  <c r="Z10" i="6"/>
  <c r="AA10" i="6"/>
  <c r="AG9" i="5"/>
  <c r="Y5" i="5"/>
  <c r="Z5" i="5"/>
  <c r="AE6" i="4"/>
  <c r="Y10" i="4"/>
  <c r="Z10" i="4"/>
  <c r="Y11" i="4"/>
  <c r="Z11" i="4"/>
  <c r="Y7" i="6"/>
  <c r="Z7" i="6"/>
  <c r="M17" i="4"/>
  <c r="C6" i="11" s="1"/>
  <c r="AG3" i="5"/>
  <c r="AE8" i="4"/>
  <c r="Y6" i="6"/>
  <c r="Z6" i="6"/>
  <c r="AE4" i="4"/>
  <c r="Y6" i="5"/>
  <c r="Z6" i="5"/>
  <c r="Y8" i="6"/>
  <c r="Z8" i="6"/>
  <c r="Y3" i="4"/>
  <c r="Z3" i="4"/>
  <c r="C7" i="11"/>
  <c r="AE4" i="6"/>
  <c r="Y9" i="4"/>
  <c r="Z9" i="4"/>
  <c r="AG4" i="4"/>
  <c r="Y8" i="4"/>
  <c r="Z8" i="4"/>
  <c r="Y7" i="4"/>
  <c r="Z7" i="4"/>
  <c r="AE8" i="5"/>
  <c r="AG8" i="5"/>
  <c r="X4" i="5"/>
  <c r="Y4" i="5"/>
  <c r="AD7" i="5"/>
  <c r="X10" i="6"/>
  <c r="Y10" i="6"/>
  <c r="X6" i="4"/>
  <c r="Y6" i="4"/>
  <c r="X4" i="6"/>
  <c r="Y4" i="6"/>
  <c r="X3" i="6"/>
  <c r="Y3" i="6"/>
  <c r="X3" i="5"/>
  <c r="Y3" i="5"/>
  <c r="AG6" i="4"/>
  <c r="AD8" i="6"/>
  <c r="AF8" i="4"/>
  <c r="X11" i="6"/>
  <c r="Y11" i="6"/>
  <c r="X12" i="4"/>
  <c r="Y12" i="4"/>
  <c r="AD4" i="5"/>
  <c r="X10" i="5"/>
  <c r="Y10" i="5"/>
  <c r="C10" i="9"/>
  <c r="W3" i="4"/>
  <c r="AE9" i="6"/>
  <c r="AG5" i="4"/>
  <c r="AD10" i="4"/>
  <c r="X5" i="4"/>
  <c r="Y5" i="4"/>
  <c r="X9" i="5"/>
  <c r="Y9" i="5"/>
  <c r="AD5" i="5"/>
  <c r="X8" i="5"/>
  <c r="Y8" i="5"/>
  <c r="X9" i="6"/>
  <c r="Y9" i="6"/>
  <c r="X5" i="6"/>
  <c r="Y5" i="6"/>
  <c r="X4" i="4"/>
  <c r="Y4" i="4"/>
  <c r="X7" i="5"/>
  <c r="Y7" i="5"/>
  <c r="R17" i="4"/>
  <c r="C3" i="13"/>
  <c r="V3" i="5"/>
  <c r="V15" i="5" s="1"/>
  <c r="B11" i="9"/>
  <c r="V3" i="6"/>
  <c r="T17" i="4"/>
  <c r="S17" i="4"/>
  <c r="AG5" i="5"/>
  <c r="AD11" i="6"/>
  <c r="X5" i="5"/>
  <c r="AG12" i="4"/>
  <c r="X10" i="4"/>
  <c r="X11" i="4"/>
  <c r="X7" i="6"/>
  <c r="AG10" i="5"/>
  <c r="AI12" i="6"/>
  <c r="X8" i="4"/>
  <c r="X9" i="4"/>
  <c r="AG8" i="4"/>
  <c r="AG10" i="4"/>
  <c r="AE12" i="4"/>
  <c r="AE9" i="4"/>
  <c r="X7" i="4"/>
  <c r="X6" i="6"/>
  <c r="AG11" i="4"/>
  <c r="AG7" i="5"/>
  <c r="AE11" i="4"/>
  <c r="AG7" i="4"/>
  <c r="X6" i="5"/>
  <c r="X8" i="6"/>
  <c r="AE3" i="4"/>
  <c r="X3" i="4"/>
  <c r="AG3" i="4"/>
  <c r="AG3" i="6"/>
  <c r="AG8" i="6"/>
  <c r="AI8" i="6"/>
  <c r="AC25" i="7"/>
  <c r="AI9" i="6" s="1"/>
  <c r="AG6" i="6"/>
  <c r="AG10" i="6"/>
  <c r="AI10" i="6"/>
  <c r="AG9" i="6"/>
  <c r="AG4" i="6"/>
  <c r="AI4" i="6"/>
  <c r="AG7" i="6"/>
  <c r="AG11" i="6"/>
  <c r="AI11" i="6"/>
  <c r="AG5" i="6"/>
  <c r="AI5" i="6"/>
  <c r="AC6" i="7"/>
  <c r="AC3" i="5" s="1"/>
  <c r="AB3" i="5"/>
  <c r="AC23" i="7"/>
  <c r="AC12" i="4" s="1"/>
  <c r="AB12" i="4"/>
  <c r="AC10" i="7"/>
  <c r="AC6" i="4" s="1"/>
  <c r="AB6" i="4"/>
  <c r="AC18" i="7"/>
  <c r="AE10" i="4" s="1"/>
  <c r="AB10" i="4"/>
  <c r="AC7" i="7"/>
  <c r="AC5" i="4" s="1"/>
  <c r="AB5" i="4"/>
  <c r="AC14" i="7"/>
  <c r="AC6" i="6" s="1"/>
  <c r="AB6" i="6"/>
  <c r="AC11" i="7"/>
  <c r="AC5" i="6" s="1"/>
  <c r="AB5" i="6"/>
  <c r="AC22" i="7"/>
  <c r="AE8" i="6" s="1"/>
  <c r="AB8" i="6"/>
  <c r="AC9" i="7"/>
  <c r="AC4" i="5" s="1"/>
  <c r="AB4" i="5"/>
  <c r="AC27" i="7"/>
  <c r="AC9" i="5" s="1"/>
  <c r="AB9" i="5"/>
  <c r="AC24" i="7"/>
  <c r="AC8" i="5" s="1"/>
  <c r="AB8" i="5"/>
  <c r="AC17" i="7"/>
  <c r="AC9" i="4" s="1"/>
  <c r="AB9" i="4"/>
  <c r="AC12" i="7"/>
  <c r="AE5" i="5" s="1"/>
  <c r="AB5" i="5"/>
  <c r="AC3" i="7"/>
  <c r="AB3" i="4"/>
  <c r="AC19" i="7"/>
  <c r="AD11" i="4" s="1"/>
  <c r="AB11" i="4"/>
  <c r="AC28" i="7"/>
  <c r="AC11" i="6" s="1"/>
  <c r="AB11" i="6"/>
  <c r="AC21" i="7"/>
  <c r="AE7" i="5" s="1"/>
  <c r="AB7" i="5"/>
  <c r="AC15" i="7"/>
  <c r="AC6" i="5" s="1"/>
  <c r="AB6" i="5"/>
  <c r="AC29" i="7"/>
  <c r="AC10" i="5" s="1"/>
  <c r="AB10" i="5"/>
  <c r="AC26" i="7"/>
  <c r="AD10" i="6" s="1"/>
  <c r="AB10" i="6"/>
  <c r="AC4" i="7"/>
  <c r="AC4" i="4" s="1"/>
  <c r="AB4" i="4"/>
  <c r="AC5" i="7"/>
  <c r="AC3" i="6" s="1"/>
  <c r="AB3" i="6"/>
  <c r="AC8" i="7"/>
  <c r="AC4" i="6" s="1"/>
  <c r="AB4" i="6"/>
  <c r="AC20" i="7"/>
  <c r="AC7" i="6" s="1"/>
  <c r="AB7" i="6"/>
  <c r="AC13" i="7"/>
  <c r="AC7" i="4" s="1"/>
  <c r="AB7" i="4"/>
  <c r="AC16" i="7"/>
  <c r="AC8" i="4" s="1"/>
  <c r="AB8" i="4"/>
  <c r="B5" i="13" l="1"/>
  <c r="C5" i="13" s="1"/>
  <c r="B4" i="13"/>
  <c r="C4" i="13" s="1"/>
  <c r="AB17" i="5"/>
  <c r="AB16" i="5"/>
  <c r="AB15" i="5"/>
  <c r="B8" i="14"/>
  <c r="C8" i="14" s="1"/>
  <c r="B11" i="14"/>
  <c r="B10" i="14"/>
  <c r="B9" i="14"/>
  <c r="C9" i="14" s="1"/>
  <c r="AA15" i="5"/>
  <c r="B18" i="14"/>
  <c r="AG15" i="5"/>
  <c r="Y15" i="5"/>
  <c r="X15" i="5"/>
  <c r="C7" i="16"/>
  <c r="V21" i="6"/>
  <c r="C5" i="16"/>
  <c r="C6" i="16"/>
  <c r="Y21" i="6"/>
  <c r="X21" i="6"/>
  <c r="AG21" i="6"/>
  <c r="AB22" i="6"/>
  <c r="B6" i="13"/>
  <c r="C6" i="13" s="1"/>
  <c r="AB21" i="6"/>
  <c r="B12" i="13"/>
  <c r="AB23" i="6"/>
  <c r="B7" i="16"/>
  <c r="U21" i="6"/>
  <c r="B13" i="9" s="1"/>
  <c r="B6" i="16"/>
  <c r="B5" i="16"/>
  <c r="AC23" i="6"/>
  <c r="V17" i="4"/>
  <c r="C12" i="9" s="1"/>
  <c r="AB20" i="4"/>
  <c r="B11" i="13" s="1"/>
  <c r="W17" i="4"/>
  <c r="C7" i="15"/>
  <c r="C6" i="15"/>
  <c r="C5" i="15"/>
  <c r="B11" i="15"/>
  <c r="B9" i="15"/>
  <c r="B8" i="15"/>
  <c r="C8" i="15" s="1"/>
  <c r="B10" i="15"/>
  <c r="AD3" i="4"/>
  <c r="AC49" i="7"/>
  <c r="B18" i="15"/>
  <c r="AG17" i="4"/>
  <c r="C11" i="9"/>
  <c r="C5" i="14"/>
  <c r="C6" i="14"/>
  <c r="C7" i="14"/>
  <c r="C8" i="16"/>
  <c r="C13" i="9"/>
  <c r="AF7" i="6"/>
  <c r="AF3" i="6"/>
  <c r="AF8" i="6"/>
  <c r="AF5" i="6"/>
  <c r="AF6" i="5"/>
  <c r="AF12" i="4"/>
  <c r="AF8" i="5"/>
  <c r="AF4" i="6"/>
  <c r="AF3" i="5"/>
  <c r="AF7" i="5"/>
  <c r="AF3" i="4"/>
  <c r="AF9" i="5"/>
  <c r="AF6" i="4"/>
  <c r="AA17" i="4"/>
  <c r="AF11" i="6"/>
  <c r="AF5" i="4"/>
  <c r="AF9" i="6"/>
  <c r="AF4" i="5"/>
  <c r="AF7" i="4"/>
  <c r="AF4" i="4"/>
  <c r="AF10" i="4"/>
  <c r="AF9" i="4"/>
  <c r="AF10" i="6"/>
  <c r="AF11" i="4"/>
  <c r="AF5" i="5"/>
  <c r="AF6" i="6"/>
  <c r="AF10" i="5"/>
  <c r="Y17" i="4"/>
  <c r="AE5" i="6"/>
  <c r="AE10" i="5"/>
  <c r="AE6" i="5"/>
  <c r="AE3" i="6"/>
  <c r="AE6" i="6"/>
  <c r="AE10" i="6"/>
  <c r="AE9" i="5"/>
  <c r="AE5" i="4"/>
  <c r="AE7" i="4"/>
  <c r="AE4" i="5"/>
  <c r="AE7" i="6"/>
  <c r="AE11" i="6"/>
  <c r="AD8" i="5"/>
  <c r="AD9" i="5"/>
  <c r="AD6" i="5"/>
  <c r="B12" i="14" s="1"/>
  <c r="AD4" i="4"/>
  <c r="AD10" i="5"/>
  <c r="AD6" i="4"/>
  <c r="AD6" i="6"/>
  <c r="AD8" i="4"/>
  <c r="AD12" i="4"/>
  <c r="AD7" i="4"/>
  <c r="AD9" i="6"/>
  <c r="AD5" i="6"/>
  <c r="AD3" i="6"/>
  <c r="AD4" i="6"/>
  <c r="AD5" i="4"/>
  <c r="AD9" i="4"/>
  <c r="AI3" i="6"/>
  <c r="AI7" i="6"/>
  <c r="AI6" i="6"/>
  <c r="AB18" i="4"/>
  <c r="AB19" i="4"/>
  <c r="AB17" i="4"/>
  <c r="X17" i="4"/>
  <c r="B10" i="13"/>
  <c r="AC7" i="5"/>
  <c r="AC9" i="6"/>
  <c r="AC5" i="5"/>
  <c r="AC15" i="5" s="1"/>
  <c r="AC10" i="6"/>
  <c r="AC8" i="6"/>
  <c r="AC21" i="6" s="1"/>
  <c r="AC10" i="4"/>
  <c r="AC11" i="4"/>
  <c r="AC3" i="4"/>
  <c r="C10" i="14" l="1"/>
  <c r="C11" i="14"/>
  <c r="AC16" i="5"/>
  <c r="AF15" i="5"/>
  <c r="AD15" i="5"/>
  <c r="AC17" i="5"/>
  <c r="B13" i="14"/>
  <c r="B14" i="14"/>
  <c r="C14" i="14"/>
  <c r="C13" i="14"/>
  <c r="C12" i="14"/>
  <c r="AE15" i="5"/>
  <c r="AE21" i="6"/>
  <c r="AD21" i="6"/>
  <c r="AC22" i="6"/>
  <c r="AF21" i="6"/>
  <c r="AC20" i="4"/>
  <c r="C12" i="15"/>
  <c r="B14" i="15"/>
  <c r="B13" i="15"/>
  <c r="B12" i="15"/>
  <c r="C11" i="15"/>
  <c r="AC17" i="4"/>
  <c r="C10" i="15"/>
  <c r="C9" i="15"/>
  <c r="AD17" i="4"/>
  <c r="B15" i="13" s="1"/>
  <c r="C14" i="15"/>
  <c r="C13" i="15"/>
  <c r="C10" i="13"/>
  <c r="B14" i="13"/>
  <c r="B16" i="13"/>
  <c r="C16" i="13"/>
  <c r="AE17" i="4"/>
  <c r="C15" i="13" s="1"/>
  <c r="C14" i="13"/>
  <c r="AF17" i="4"/>
  <c r="C12" i="13"/>
  <c r="AC18" i="4"/>
  <c r="AC19" i="4"/>
  <c r="C6" i="9"/>
  <c r="C11" i="13" l="1"/>
  <c r="C7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tc={8C31E7AD-AF87-44E1-B60C-CF56C768BEAF}</author>
  </authors>
  <commentList>
    <comment ref="B9" authorId="0" shapeId="0" xr:uid="{8C31E7AD-AF87-44E1-B60C-CF56C768BEAF}">
      <text>
        <t>[Threaded comment]
Your version of Excel allows you to read this threaded comment; however, any edits to it will get removed if the file is opened in a newer version of Excel. Learn more: https://go.microsoft.com/fwlink/?linkid=870924
Comment:
    Needs to match the total for the compound figure in adjacent cell</t>
      </text>
    </comment>
  </commentList>
</comments>
</file>

<file path=xl/sharedStrings.xml><?xml version="1.0" encoding="utf-8"?>
<sst xmlns="http://schemas.openxmlformats.org/spreadsheetml/2006/main" count="692" uniqueCount="180">
  <si>
    <t>TEMPO PLAN MATURITIES: SUMMARY OF PERFORMANCE</t>
  </si>
  <si>
    <t>Nos of kick-out plans to have kicked out and matured</t>
  </si>
  <si>
    <r>
      <t xml:space="preserve">Nos of matured kick-out plans that generated positive returns </t>
    </r>
    <r>
      <rPr>
        <sz val="11"/>
        <color theme="1"/>
        <rFont val="Calibri"/>
        <family val="2"/>
        <scheme val="minor"/>
      </rPr>
      <t>(total | percentage)</t>
    </r>
  </si>
  <si>
    <r>
      <t xml:space="preserve">Nos of matured kick-out plans that repaid capital only </t>
    </r>
    <r>
      <rPr>
        <sz val="11"/>
        <color theme="1"/>
        <rFont val="Calibri"/>
        <family val="2"/>
        <scheme val="minor"/>
      </rPr>
      <t>(total | percentage)</t>
    </r>
  </si>
  <si>
    <r>
      <t>Nos of matured kick-out plans that created a loss</t>
    </r>
    <r>
      <rPr>
        <sz val="11"/>
        <color theme="1"/>
        <rFont val="Calibri"/>
        <family val="2"/>
        <scheme val="minor"/>
      </rPr>
      <t xml:space="preserve"> (total / percentage)</t>
    </r>
  </si>
  <si>
    <r>
      <t xml:space="preserve">Highest annualised return: all plans </t>
    </r>
    <r>
      <rPr>
        <sz val="11"/>
        <color theme="1"/>
        <rFont val="Calibri"/>
        <family val="2"/>
        <scheme val="minor"/>
      </rPr>
      <t>(simple | compound)</t>
    </r>
  </si>
  <si>
    <r>
      <t xml:space="preserve">Lowest annualised return: all plans </t>
    </r>
    <r>
      <rPr>
        <sz val="11"/>
        <color theme="1"/>
        <rFont val="Calibri"/>
        <family val="2"/>
        <scheme val="minor"/>
      </rPr>
      <t>(simple | compund)</t>
    </r>
  </si>
  <si>
    <r>
      <t xml:space="preserve">Average annualised return: all plans </t>
    </r>
    <r>
      <rPr>
        <sz val="11"/>
        <color theme="1"/>
        <rFont val="Calibri"/>
        <family val="2"/>
        <scheme val="minor"/>
      </rPr>
      <t>(simple | compound)</t>
    </r>
  </si>
  <si>
    <t>Impact of explicit charges on investor's capital and / or the stated level of return generated by the matured plans</t>
  </si>
  <si>
    <t>Access / liquidity during investment term of the plans</t>
  </si>
  <si>
    <t>Daily</t>
  </si>
  <si>
    <t>Maximum investment term of the plans | average duation of the plans before kick-out and / or early maturity</t>
  </si>
  <si>
    <t>10 years</t>
  </si>
  <si>
    <t>TEMPO PLAN MATURITIES: SUMMARY OF RISK / RETURN PROFILES</t>
  </si>
  <si>
    <r>
      <t xml:space="preserve">Nos of plans that required the index to rise from start level at end date, in order to generate positive returns </t>
    </r>
    <r>
      <rPr>
        <sz val="11"/>
        <color theme="1"/>
        <rFont val="Calibri"/>
        <family val="2"/>
        <scheme val="minor"/>
      </rPr>
      <t>(total | percentage)</t>
    </r>
  </si>
  <si>
    <r>
      <t xml:space="preserve">Nos of plans that required the index to be at or above start level at end date, in order to generate positive returns </t>
    </r>
    <r>
      <rPr>
        <sz val="11"/>
        <color theme="1"/>
        <rFont val="Calibri"/>
        <family val="2"/>
        <scheme val="minor"/>
      </rPr>
      <t>(total | percentage)</t>
    </r>
  </si>
  <si>
    <r>
      <t xml:space="preserve">Nos of plans that allowed the index to fall from start level at end date, in order to generate positive returns </t>
    </r>
    <r>
      <rPr>
        <sz val="11"/>
        <color theme="1"/>
        <rFont val="Calibri"/>
        <family val="2"/>
        <scheme val="minor"/>
      </rPr>
      <t>(total | percentage)</t>
    </r>
  </si>
  <si>
    <t>- Nos of plans allowing the index to fall 10% from start level at end date, in order to generate positive returns</t>
  </si>
  <si>
    <t>- Nos of plans allowing the index to fall 17.5% - 70% from start level at end date, in order to generate positive returns</t>
  </si>
  <si>
    <t>- Average amount that 17.5% - 70% plans allowed the index to fall from start level at end date</t>
  </si>
  <si>
    <r>
      <t xml:space="preserve">Lowest end of term barrier level | </t>
    </r>
    <r>
      <rPr>
        <sz val="11"/>
        <color theme="1"/>
        <rFont val="Calibri"/>
        <family val="2"/>
        <scheme val="minor"/>
      </rPr>
      <t>amount the index could fall from start level over investment term without capital being at risk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at end date</t>
    </r>
  </si>
  <si>
    <r>
      <t xml:space="preserve">Highest end of term barrier level | </t>
    </r>
    <r>
      <rPr>
        <sz val="11"/>
        <color theme="1"/>
        <rFont val="Calibri"/>
        <family val="2"/>
        <scheme val="minor"/>
      </rPr>
      <t>amount the index could fall from start level over investment term without capital being at risk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at end date</t>
    </r>
  </si>
  <si>
    <r>
      <t xml:space="preserve">Average end of term barrier level | </t>
    </r>
    <r>
      <rPr>
        <sz val="11"/>
        <color theme="1"/>
        <rFont val="Calibri"/>
        <family val="2"/>
        <scheme val="minor"/>
      </rPr>
      <t>amount the index could fall from start level over investment term without capital being at risk at end date</t>
    </r>
  </si>
  <si>
    <r>
      <t xml:space="preserve">Average end of term barrier level headroom </t>
    </r>
    <r>
      <rPr>
        <sz val="11"/>
        <color theme="1"/>
        <rFont val="Calibri"/>
        <family val="2"/>
        <scheme val="minor"/>
      </rPr>
      <t>(difference between the level of the index at kick-out and the end of term barrier level)</t>
    </r>
  </si>
  <si>
    <r>
      <t xml:space="preserve">TEMPO PLAN MATURITIES: SUMMARY OF </t>
    </r>
    <r>
      <rPr>
        <b/>
        <i/>
        <sz val="11"/>
        <color theme="1"/>
        <rFont val="Calibri"/>
        <family val="2"/>
        <scheme val="minor"/>
      </rPr>
      <t xml:space="preserve">‘ALPHA BY CONTRACT’ </t>
    </r>
    <r>
      <rPr>
        <b/>
        <sz val="11"/>
        <color theme="1"/>
        <rFont val="Calibri"/>
        <family val="2"/>
        <scheme val="minor"/>
      </rPr>
      <t>OUTCOMES, OBSERVATIONS AND CONSIDERATIONS</t>
    </r>
  </si>
  <si>
    <r>
      <t xml:space="preserve">Nos of plans (all types) that delivered </t>
    </r>
    <r>
      <rPr>
        <b/>
        <i/>
        <sz val="11"/>
        <color theme="1"/>
        <rFont val="Calibri"/>
        <family val="2"/>
        <scheme val="minor"/>
      </rPr>
      <t xml:space="preserve">'alpha by contract' </t>
    </r>
    <r>
      <rPr>
        <b/>
        <sz val="11"/>
        <color theme="1"/>
        <rFont val="Calibri"/>
        <family val="2"/>
        <scheme val="minor"/>
      </rPr>
      <t xml:space="preserve">vs total return index tracker </t>
    </r>
    <r>
      <rPr>
        <sz val="11"/>
        <color theme="1"/>
        <rFont val="Calibri"/>
        <family val="2"/>
        <scheme val="minor"/>
      </rPr>
      <t>(total | percentage)</t>
    </r>
  </si>
  <si>
    <r>
      <t xml:space="preserve">- Nos of plans that required the index to be </t>
    </r>
    <r>
      <rPr>
        <i/>
        <sz val="11"/>
        <color theme="1"/>
        <rFont val="Calibri"/>
        <family val="2"/>
        <scheme val="minor"/>
      </rPr>
      <t>'at or above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100% of start level'</t>
    </r>
    <r>
      <rPr>
        <sz val="11"/>
        <color theme="1"/>
        <rFont val="Calibri"/>
        <family val="2"/>
        <scheme val="minor"/>
      </rPr>
      <t xml:space="preserve"> that delivered </t>
    </r>
    <r>
      <rPr>
        <i/>
        <sz val="11"/>
        <color theme="1"/>
        <rFont val="Calibri"/>
        <family val="2"/>
        <scheme val="minor"/>
      </rPr>
      <t>'alpha by contract'</t>
    </r>
    <r>
      <rPr>
        <sz val="11"/>
        <color theme="1"/>
        <rFont val="Calibri"/>
        <family val="2"/>
        <scheme val="minor"/>
      </rPr>
      <t xml:space="preserve"> vs total return index tracker (total | percentage)</t>
    </r>
  </si>
  <si>
    <r>
      <t xml:space="preserve">- Nos of plans that required the index to be </t>
    </r>
    <r>
      <rPr>
        <i/>
        <sz val="11"/>
        <color theme="1"/>
        <rFont val="Calibri"/>
        <family val="2"/>
        <scheme val="minor"/>
      </rPr>
      <t>'at or above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90% of start level'</t>
    </r>
    <r>
      <rPr>
        <sz val="11"/>
        <color theme="1"/>
        <rFont val="Calibri"/>
        <family val="2"/>
        <scheme val="minor"/>
      </rPr>
      <t xml:space="preserve"> that delivered </t>
    </r>
    <r>
      <rPr>
        <i/>
        <sz val="11"/>
        <color theme="1"/>
        <rFont val="Calibri"/>
        <family val="2"/>
        <scheme val="minor"/>
      </rPr>
      <t>'alpha by contract'</t>
    </r>
    <r>
      <rPr>
        <sz val="11"/>
        <color theme="1"/>
        <rFont val="Calibri"/>
        <family val="2"/>
        <scheme val="minor"/>
      </rPr>
      <t xml:space="preserve"> vs total return index tracker (total | percentage)</t>
    </r>
  </si>
  <si>
    <r>
      <t>- Nos of plans that required the index to be</t>
    </r>
    <r>
      <rPr>
        <i/>
        <sz val="11"/>
        <color theme="1"/>
        <rFont val="Calibri"/>
        <family val="2"/>
        <scheme val="minor"/>
      </rPr>
      <t xml:space="preserve"> 'at or above 30% - 82.5% of start level'</t>
    </r>
    <r>
      <rPr>
        <sz val="11"/>
        <color theme="1"/>
        <rFont val="Calibri"/>
        <family val="2"/>
        <scheme val="minor"/>
      </rPr>
      <t xml:space="preserve"> that delivered </t>
    </r>
    <r>
      <rPr>
        <i/>
        <sz val="11"/>
        <color theme="1"/>
        <rFont val="Calibri"/>
        <family val="2"/>
        <scheme val="minor"/>
      </rPr>
      <t xml:space="preserve">'alpha by contract' </t>
    </r>
    <r>
      <rPr>
        <sz val="11"/>
        <color theme="1"/>
        <rFont val="Calibri"/>
        <family val="2"/>
        <scheme val="minor"/>
      </rPr>
      <t>vs total return index tracker (total | percentage)</t>
    </r>
  </si>
  <si>
    <r>
      <t xml:space="preserve">Highest level of alpha by contract generated: all plans </t>
    </r>
    <r>
      <rPr>
        <sz val="11"/>
        <color theme="1"/>
        <rFont val="Calibri"/>
        <family val="2"/>
        <scheme val="minor"/>
      </rPr>
      <t>(total | annualised)</t>
    </r>
  </si>
  <si>
    <r>
      <t xml:space="preserve">Lowest level of alpha by contract generated: all plans </t>
    </r>
    <r>
      <rPr>
        <sz val="11"/>
        <color theme="1"/>
        <rFont val="Calibri"/>
        <family val="2"/>
        <scheme val="minor"/>
      </rPr>
      <t>(total | annualised)</t>
    </r>
  </si>
  <si>
    <r>
      <t xml:space="preserve">Average level of alpha by contract generated: all plans </t>
    </r>
    <r>
      <rPr>
        <sz val="11"/>
        <color theme="1"/>
        <rFont val="Calibri"/>
        <family val="2"/>
        <scheme val="minor"/>
      </rPr>
      <t>(total | annualised)</t>
    </r>
  </si>
  <si>
    <r>
      <t>- Average level of alpha by contract generated by plans* that required the index to be</t>
    </r>
    <r>
      <rPr>
        <i/>
        <sz val="11"/>
        <color theme="1"/>
        <rFont val="Calibri"/>
        <family val="2"/>
        <scheme val="minor"/>
      </rPr>
      <t xml:space="preserve"> 'at or above 100% of start level'</t>
    </r>
    <r>
      <rPr>
        <sz val="11"/>
        <color theme="1"/>
        <rFont val="Calibri"/>
        <family val="2"/>
        <scheme val="minor"/>
      </rPr>
      <t xml:space="preserve"> (total | annualised)</t>
    </r>
  </si>
  <si>
    <r>
      <t xml:space="preserve">- Average level of alpha by contract generated by plans* that required the index to be </t>
    </r>
    <r>
      <rPr>
        <i/>
        <sz val="11"/>
        <color theme="1"/>
        <rFont val="Calibri"/>
        <family val="2"/>
        <scheme val="minor"/>
      </rPr>
      <t>'at or above  90% of start level'</t>
    </r>
    <r>
      <rPr>
        <sz val="11"/>
        <color theme="1"/>
        <rFont val="Calibri"/>
        <family val="2"/>
        <scheme val="minor"/>
      </rPr>
      <t xml:space="preserve"> (total | annualised)</t>
    </r>
  </si>
  <si>
    <r>
      <t xml:space="preserve">- Average level of alpha by contract generated by plans* that required the index to be </t>
    </r>
    <r>
      <rPr>
        <i/>
        <sz val="11"/>
        <color theme="1"/>
        <rFont val="Calibri"/>
        <family val="2"/>
        <scheme val="minor"/>
      </rPr>
      <t>'at or above 30% - 82.5% of start level'</t>
    </r>
    <r>
      <rPr>
        <sz val="11"/>
        <color theme="1"/>
        <rFont val="Calibri"/>
        <family val="2"/>
        <scheme val="minor"/>
      </rPr>
      <t xml:space="preserve"> (total | annualised)</t>
    </r>
  </si>
  <si>
    <r>
      <t xml:space="preserve">Average level of kick-out / alpha headroom </t>
    </r>
    <r>
      <rPr>
        <sz val="11"/>
        <color theme="1"/>
        <rFont val="Calibri"/>
        <family val="2"/>
        <scheme val="minor"/>
      </rPr>
      <t>(difference between the level of the index at point of kick-out and the level required for kick-out | and at end date)</t>
    </r>
  </si>
  <si>
    <r>
      <t xml:space="preserve">- Average level of kick-out / alpha headroom at point of kick-out | and at end date for </t>
    </r>
    <r>
      <rPr>
        <i/>
        <sz val="11"/>
        <color theme="1"/>
        <rFont val="Calibri"/>
        <family val="2"/>
        <scheme val="minor"/>
      </rPr>
      <t>'at or above 100% of start level'</t>
    </r>
    <r>
      <rPr>
        <sz val="11"/>
        <color theme="1"/>
        <rFont val="Calibri"/>
        <family val="2"/>
        <scheme val="minor"/>
      </rPr>
      <t xml:space="preserve"> plans</t>
    </r>
  </si>
  <si>
    <r>
      <t xml:space="preserve">- Average level of kick-out / alpha headroom at point of kick-out | and at end date for </t>
    </r>
    <r>
      <rPr>
        <i/>
        <sz val="11"/>
        <color theme="1"/>
        <rFont val="Calibri"/>
        <family val="2"/>
        <scheme val="minor"/>
      </rPr>
      <t>'at or above 90% of start level'</t>
    </r>
    <r>
      <rPr>
        <sz val="11"/>
        <color theme="1"/>
        <rFont val="Calibri"/>
        <family val="2"/>
        <scheme val="minor"/>
      </rPr>
      <t xml:space="preserve"> plans</t>
    </r>
  </si>
  <si>
    <r>
      <t xml:space="preserve">- Average level of kick-out / alpha headroom at point of kick-out | and at end date for </t>
    </r>
    <r>
      <rPr>
        <i/>
        <sz val="11"/>
        <color theme="1"/>
        <rFont val="Calibri"/>
        <family val="2"/>
        <scheme val="minor"/>
      </rPr>
      <t>'at or above 30% - 82.5% of start level'</t>
    </r>
    <r>
      <rPr>
        <sz val="11"/>
        <color theme="1"/>
        <rFont val="Calibri"/>
        <family val="2"/>
        <scheme val="minor"/>
      </rPr>
      <t xml:space="preserve"> plans</t>
    </r>
  </si>
  <si>
    <t>* based on plans that delivered positive alpha</t>
  </si>
  <si>
    <r>
      <t xml:space="preserve">Tempo Long Kick-out Plan </t>
    </r>
    <r>
      <rPr>
        <b/>
        <i/>
        <sz val="11"/>
        <color theme="1"/>
        <rFont val="Calibri"/>
        <family val="2"/>
        <scheme val="minor"/>
      </rPr>
      <t xml:space="preserve">('LKO'): </t>
    </r>
    <r>
      <rPr>
        <b/>
        <sz val="11"/>
        <color theme="1"/>
        <rFont val="Calibri"/>
        <family val="2"/>
        <scheme val="minor"/>
      </rPr>
      <t>all plan options: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Maturities performance analysis and comparison</t>
    </r>
  </si>
  <si>
    <t>Product suite issue 
/ plan option</t>
  </si>
  <si>
    <t>Plan 
brochure</t>
  </si>
  <si>
    <t>'If / then summary …'</t>
  </si>
  <si>
    <t>MPAC</t>
  </si>
  <si>
    <t>Start 
date</t>
  </si>
  <si>
    <t>Kick-out
date</t>
  </si>
  <si>
    <t>Index 
start level</t>
  </si>
  <si>
    <t>End of term barrier level %</t>
  </si>
  <si>
    <t>Percentage that index can fall over investment term</t>
  </si>
  <si>
    <t>End of term barrier level</t>
  </si>
  <si>
    <t xml:space="preserve">Kick-out return
p.a. (potential) </t>
  </si>
  <si>
    <t>Kick-out condition 
at Y3 (% of start level)</t>
  </si>
  <si>
    <t>Kick-out condition 
throughout investment term</t>
  </si>
  <si>
    <t>Kick-out condition 
at end date</t>
  </si>
  <si>
    <t>Nos of years 
plan ran</t>
  </si>
  <si>
    <t xml:space="preserve">Index level needed at point of kick-out </t>
  </si>
  <si>
    <t>Index level at point of kick-out</t>
  </si>
  <si>
    <t>Index level as % 
of start level</t>
  </si>
  <si>
    <t xml:space="preserve">Kick-out return
generated </t>
  </si>
  <si>
    <t>Annualised (simple)</t>
  </si>
  <si>
    <t>Annualised (compound)</t>
  </si>
  <si>
    <t>Impact of charges on return generated</t>
  </si>
  <si>
    <t>Capital 
repaid</t>
  </si>
  <si>
    <t>Impact of charges on repayment of capital</t>
  </si>
  <si>
    <t>Intra-term access
(liquidity / charges)</t>
  </si>
  <si>
    <t>Vanguard FTSE 100 Index Acc 
(incl gross dividends reinvested)</t>
  </si>
  <si>
    <t>Alpha by contract generated by plan</t>
  </si>
  <si>
    <t>Alpha by contract (annualised / compound)</t>
  </si>
  <si>
    <t>Kick-out / alpha headroom (%) 
at point of kick-out</t>
  </si>
  <si>
    <t>Kick-out / alpha headroom (%) 
at end date</t>
  </si>
  <si>
    <t>Max (snowballed) return at end date
(excluding capital)</t>
  </si>
  <si>
    <t>End of term barrier level headroom at point of 
kick-out and end date</t>
  </si>
  <si>
    <t>Issue 01, LKO1</t>
  </si>
  <si>
    <t>Plan brochure</t>
  </si>
  <si>
    <t>-</t>
  </si>
  <si>
    <t>Daily / No charge</t>
  </si>
  <si>
    <t>Issue 02, LKO1</t>
  </si>
  <si>
    <t>Issue 02, LKO2</t>
  </si>
  <si>
    <t>100%, 95%, 90%, 85%, 80%, 75%, 70%, 65%</t>
  </si>
  <si>
    <t>Issue 02, LKO3</t>
  </si>
  <si>
    <t>Issue 03, LKO1</t>
  </si>
  <si>
    <t>Issue 03, LKO2</t>
  </si>
  <si>
    <t>Issue 03, LKO3</t>
  </si>
  <si>
    <t>Issue 04, LKO1</t>
  </si>
  <si>
    <t>Issue 04, LKO2</t>
  </si>
  <si>
    <t>Issue 04, LKO3</t>
  </si>
  <si>
    <t>Issue 05, LKO1</t>
  </si>
  <si>
    <t>Issue 05, LKO2</t>
  </si>
  <si>
    <t>Issue 05, LKO3</t>
  </si>
  <si>
    <t>Issue 06, LKO1</t>
  </si>
  <si>
    <t>Issue 07, LKO1</t>
  </si>
  <si>
    <t>Issue 08, LKO1</t>
  </si>
  <si>
    <t>If / then</t>
  </si>
  <si>
    <t>Issue 11, LKO1</t>
  </si>
  <si>
    <t>Issue 11, LKO2</t>
  </si>
  <si>
    <t>Issue 11, LKO3</t>
  </si>
  <si>
    <t>Issue 12, LKO1</t>
  </si>
  <si>
    <t>Issue 12, LKO2</t>
  </si>
  <si>
    <t>Issue 12, LKO3*</t>
  </si>
  <si>
    <t>Issue 13, LKO1</t>
  </si>
  <si>
    <t>100%, 90%, 80%, 70%, 60%, 50%, 40%, 30%</t>
  </si>
  <si>
    <t>Issue 13, LKO2</t>
  </si>
  <si>
    <t>Issue 13, LKO3</t>
  </si>
  <si>
    <t>Issue 13.2, LKO2*</t>
  </si>
  <si>
    <t>Issue 13.2, LKO3*</t>
  </si>
  <si>
    <t>Issue 13, BLKO2</t>
  </si>
  <si>
    <t>Issue 13, BLKO3</t>
  </si>
  <si>
    <t>Issue 14, LKO1</t>
  </si>
  <si>
    <t>100%, 90%, 80%, 70%, 60%, 50%, 45%, 40%</t>
  </si>
  <si>
    <t>Issue 14, LKO2</t>
  </si>
  <si>
    <t>Issue 14, LKO3</t>
  </si>
  <si>
    <t>If /then</t>
  </si>
  <si>
    <t>Issue 15, LKO1</t>
  </si>
  <si>
    <t>Issue 15, LKO2</t>
  </si>
  <si>
    <t>Issue 15, LKO3</t>
  </si>
  <si>
    <t>Issue 09, LKO1</t>
  </si>
  <si>
    <t>Issue 09.2, LKO1</t>
  </si>
  <si>
    <t>Issue 10, LKO1</t>
  </si>
  <si>
    <t>Issue 06, LKO2</t>
  </si>
  <si>
    <t>Average</t>
  </si>
  <si>
    <t>Highest level of alpha generated*</t>
  </si>
  <si>
    <r>
      <t>* denotes plans which benefitted from Tempo's</t>
    </r>
    <r>
      <rPr>
        <i/>
        <sz val="11"/>
        <color theme="1"/>
        <rFont val="Calibri"/>
        <family val="2"/>
        <scheme val="minor"/>
      </rPr>
      <t xml:space="preserve"> 'stated terms or better'</t>
    </r>
    <r>
      <rPr>
        <sz val="11"/>
        <color theme="1"/>
        <rFont val="Calibri"/>
        <family val="2"/>
        <scheme val="minor"/>
      </rPr>
      <t xml:space="preserve"> pledge</t>
    </r>
  </si>
  <si>
    <t>Lowest level of alpha generated*</t>
  </si>
  <si>
    <t>Average level of alpha generated*</t>
  </si>
  <si>
    <t>(* based on plans that delivered positive alpha)</t>
  </si>
  <si>
    <r>
      <t xml:space="preserve">Tempo Long Kick-out Plan </t>
    </r>
    <r>
      <rPr>
        <b/>
        <i/>
        <sz val="11"/>
        <color theme="1"/>
        <rFont val="Calibri"/>
        <family val="2"/>
        <scheme val="minor"/>
      </rPr>
      <t>('LKO'): '100% of start level'</t>
    </r>
    <r>
      <rPr>
        <b/>
        <sz val="11"/>
        <color theme="1"/>
        <rFont val="Calibri"/>
        <family val="2"/>
        <scheme val="minor"/>
      </rPr>
      <t xml:space="preserve"> kick-out condition: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Maturities performance analysis and comparison</t>
    </r>
  </si>
  <si>
    <t>'If / then 
summary …'</t>
  </si>
  <si>
    <t>Annualised return (simple)</t>
  </si>
  <si>
    <t>Annualised return (compound)</t>
  </si>
  <si>
    <t>Issue 13.2, LKO3</t>
  </si>
  <si>
    <t>Issue 13, BLKO3*</t>
  </si>
  <si>
    <r>
      <t xml:space="preserve">TEMPO PLAN MATURITIES: SUMMARY OF </t>
    </r>
    <r>
      <rPr>
        <b/>
        <i/>
        <sz val="11"/>
        <color theme="1"/>
        <rFont val="Calibri"/>
        <family val="2"/>
        <scheme val="minor"/>
      </rPr>
      <t xml:space="preserve">‘AT OR ABOVE 100% OF START LEVEL' </t>
    </r>
    <r>
      <rPr>
        <b/>
        <sz val="11"/>
        <color theme="1"/>
        <rFont val="Calibri"/>
        <family val="2"/>
        <scheme val="minor"/>
      </rPr>
      <t>PLAN MATURITIES</t>
    </r>
  </si>
  <si>
    <r>
      <t xml:space="preserve">Nos of matured plans that required index to be </t>
    </r>
    <r>
      <rPr>
        <b/>
        <i/>
        <sz val="11"/>
        <color theme="1"/>
        <rFont val="Calibri"/>
        <family val="2"/>
        <scheme val="minor"/>
      </rPr>
      <t>‘at or above 100% of start level’</t>
    </r>
    <r>
      <rPr>
        <b/>
        <sz val="11"/>
        <color theme="1"/>
        <rFont val="Calibri"/>
        <family val="2"/>
        <scheme val="minor"/>
      </rPr>
      <t>, to generate positive returns</t>
    </r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</si>
  <si>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100% of start level’</t>
    </r>
    <r>
      <rPr>
        <b/>
        <sz val="11"/>
        <color theme="1"/>
        <rFont val="Calibri"/>
        <family val="2"/>
        <scheme val="minor"/>
      </rPr>
      <t xml:space="preserve"> plans that generated positive returns (total | percentage)</t>
    </r>
  </si>
  <si>
    <t>- Highest annualised return (simple | compound)</t>
  </si>
  <si>
    <t>- Lowest annualised return (simple | compound)</t>
  </si>
  <si>
    <t>- Average annualised return (simple | compound)</t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</si>
  <si>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100% of start level’</t>
    </r>
    <r>
      <rPr>
        <b/>
        <sz val="11"/>
        <color theme="1"/>
        <rFont val="Calibri"/>
        <family val="2"/>
        <scheme val="minor"/>
      </rPr>
      <t xml:space="preserve"> plans that generated </t>
    </r>
    <r>
      <rPr>
        <b/>
        <i/>
        <sz val="11"/>
        <color theme="1"/>
        <rFont val="Calibri"/>
        <family val="2"/>
        <scheme val="minor"/>
      </rPr>
      <t>‘alpha by contract’</t>
    </r>
    <r>
      <rPr>
        <b/>
        <sz val="11"/>
        <color theme="1"/>
        <rFont val="Calibri"/>
        <family val="2"/>
        <scheme val="minor"/>
      </rPr>
      <t xml:space="preserve"> (total | percentage)</t>
    </r>
  </si>
  <si>
    <t xml:space="preserve">- Highest level of alpha by contract generated vs total return index tracker** (total | annualised / compound) </t>
  </si>
  <si>
    <t>- Lowest level of alpha by contract generated vs total return index tracker** (total | annualised / compound)</t>
  </si>
  <si>
    <t>- Average level of alpha by contract generated vs total return index tracker** (total | annualised / compound)</t>
  </si>
  <si>
    <t>Highest level of kick-out / alpha headroom at point of kick-out | end date</t>
  </si>
  <si>
    <t>Lowest level of kick-out / alpha headroom at point of kick-out | end date</t>
  </si>
  <si>
    <t>Average level of kick-out / alpha headroom at point of kick-out | end date</t>
  </si>
  <si>
    <t>Lowest end of term barrier level | amount index could fall from start level over investment term without capital loss</t>
  </si>
  <si>
    <t>Highest end of term barrier level | amount index could fall from start level over investment term without capital loss</t>
  </si>
  <si>
    <t>Average end of term barrier level | amount index could fall from start level over investment term without capital loss</t>
  </si>
  <si>
    <t>Average end of term barrier level headroom (difference between index level at kick-out and end of term barrier level)</t>
  </si>
  <si>
    <t>** based on plans that delivered positive alpha</t>
  </si>
  <si>
    <r>
      <t xml:space="preserve">Tempo Long Kick-out Plan </t>
    </r>
    <r>
      <rPr>
        <b/>
        <i/>
        <sz val="11"/>
        <color theme="1"/>
        <rFont val="Calibri"/>
        <family val="2"/>
        <scheme val="minor"/>
      </rPr>
      <t>('LKO'): '90% of start level'</t>
    </r>
    <r>
      <rPr>
        <b/>
        <sz val="11"/>
        <color theme="1"/>
        <rFont val="Calibri"/>
        <family val="2"/>
        <scheme val="minor"/>
      </rPr>
      <t xml:space="preserve"> kick-out condition: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Maturities performance analysis and comparison</t>
    </r>
  </si>
  <si>
    <r>
      <t xml:space="preserve">TEMPO PLAN MATURITIES: SUMMARY OF </t>
    </r>
    <r>
      <rPr>
        <b/>
        <i/>
        <sz val="11"/>
        <color theme="1"/>
        <rFont val="Calibri"/>
        <family val="2"/>
        <scheme val="minor"/>
      </rPr>
      <t>‘AT OR ABOVE 90% OF START LEVEL'</t>
    </r>
    <r>
      <rPr>
        <b/>
        <sz val="11"/>
        <color theme="1"/>
        <rFont val="Calibri"/>
        <family val="2"/>
        <scheme val="minor"/>
      </rPr>
      <t xml:space="preserve"> PLAN MATURITIES</t>
    </r>
  </si>
  <si>
    <r>
      <t xml:space="preserve">Nos of matured plans that required index to be </t>
    </r>
    <r>
      <rPr>
        <b/>
        <i/>
        <sz val="11"/>
        <color theme="1"/>
        <rFont val="Calibri"/>
        <family val="2"/>
        <scheme val="minor"/>
      </rPr>
      <t>‘at or above 90% of start level’</t>
    </r>
    <r>
      <rPr>
        <b/>
        <sz val="11"/>
        <color theme="1"/>
        <rFont val="Calibri"/>
        <family val="2"/>
        <scheme val="minor"/>
      </rPr>
      <t>, to generate positive returns</t>
    </r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</si>
  <si>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90% of start level’</t>
    </r>
    <r>
      <rPr>
        <b/>
        <sz val="11"/>
        <color theme="1"/>
        <rFont val="Calibri"/>
        <family val="2"/>
        <scheme val="minor"/>
      </rPr>
      <t xml:space="preserve"> plans that generated positive returns (total | percentage)</t>
    </r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</si>
  <si>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90% of start level’</t>
    </r>
    <r>
      <rPr>
        <b/>
        <sz val="11"/>
        <color theme="1"/>
        <rFont val="Calibri"/>
        <family val="2"/>
        <scheme val="minor"/>
      </rPr>
      <t xml:space="preserve"> plans that generated </t>
    </r>
    <r>
      <rPr>
        <b/>
        <i/>
        <sz val="11"/>
        <color theme="1"/>
        <rFont val="Calibri"/>
        <family val="2"/>
        <scheme val="minor"/>
      </rPr>
      <t>‘alpha by contract’</t>
    </r>
    <r>
      <rPr>
        <b/>
        <sz val="11"/>
        <color theme="1"/>
        <rFont val="Calibri"/>
        <family val="2"/>
        <scheme val="minor"/>
      </rPr>
      <t xml:space="preserve"> (total | percentage)</t>
    </r>
  </si>
  <si>
    <t>Highest level of kick-out / alpha headroom at point of kick-out | and at end of full investment term (all plans)</t>
  </si>
  <si>
    <t>*** based on plans that delivered positive alpha</t>
  </si>
  <si>
    <r>
      <t xml:space="preserve">Tempo Long Kick-out Plan </t>
    </r>
    <r>
      <rPr>
        <b/>
        <i/>
        <sz val="11"/>
        <color theme="1"/>
        <rFont val="Calibri"/>
        <family val="2"/>
        <scheme val="minor"/>
      </rPr>
      <t xml:space="preserve">('LKO'): '30% - 82.5%' </t>
    </r>
    <r>
      <rPr>
        <b/>
        <sz val="11"/>
        <color theme="1"/>
        <rFont val="Calibri"/>
        <family val="2"/>
        <scheme val="minor"/>
      </rPr>
      <t>step down kick-out condition: Maturities performance analysis and comparison</t>
    </r>
  </si>
  <si>
    <r>
      <t xml:space="preserve">TEMPO PLAN MATURITIES: SUMMARY OF </t>
    </r>
    <r>
      <rPr>
        <b/>
        <i/>
        <sz val="11"/>
        <color theme="1"/>
        <rFont val="Calibri"/>
        <family val="2"/>
        <scheme val="minor"/>
      </rPr>
      <t>‘AT OR ABOVE 30% - 82.5% OF START LEVEL'</t>
    </r>
    <r>
      <rPr>
        <b/>
        <sz val="11"/>
        <color theme="1"/>
        <rFont val="Calibri"/>
        <family val="2"/>
        <scheme val="minor"/>
      </rPr>
      <t xml:space="preserve"> PLAN MATURITIES</t>
    </r>
  </si>
  <si>
    <t>Nos of matured plans that required index to be ‘at or above 30% - 82.5% of start level’, to generate positive returns</t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</si>
  <si>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30% - 82.5% of start level’</t>
    </r>
    <r>
      <rPr>
        <b/>
        <sz val="11"/>
        <color theme="1"/>
        <rFont val="Calibri"/>
        <family val="2"/>
        <scheme val="minor"/>
      </rPr>
      <t xml:space="preserve"> plans that generated positive returns (total | percentage)</t>
    </r>
  </si>
  <si>
    <r>
      <t xml:space="preserve">Nos of matured </t>
    </r>
    <r>
      <rPr>
        <b/>
        <i/>
        <sz val="11"/>
        <color theme="1"/>
        <rFont val="Calibri"/>
        <family val="2"/>
        <scheme val="minor"/>
      </rPr>
      <t>‘at or above 30% - 82.5% of start level’</t>
    </r>
    <r>
      <rPr>
        <b/>
        <sz val="11"/>
        <color theme="1"/>
        <rFont val="Calibri"/>
        <family val="2"/>
        <scheme val="minor"/>
      </rPr>
      <t xml:space="preserve"> plans that generated </t>
    </r>
    <r>
      <rPr>
        <b/>
        <i/>
        <sz val="11"/>
        <color theme="1"/>
        <rFont val="Calibri"/>
        <family val="2"/>
        <scheme val="minor"/>
      </rPr>
      <t>‘alpha by contract’</t>
    </r>
    <r>
      <rPr>
        <b/>
        <sz val="11"/>
        <color theme="1"/>
        <rFont val="Calibri"/>
        <family val="2"/>
        <scheme val="minor"/>
      </rPr>
      <t xml:space="preserve"> (total | percentage)</t>
    </r>
  </si>
  <si>
    <r>
      <t xml:space="preserve">Tempo Long Income Plan </t>
    </r>
    <r>
      <rPr>
        <b/>
        <i/>
        <sz val="11"/>
        <color theme="1"/>
        <rFont val="Calibri"/>
        <family val="2"/>
        <scheme val="minor"/>
      </rPr>
      <t xml:space="preserve">('LIP'): </t>
    </r>
    <r>
      <rPr>
        <b/>
        <sz val="11"/>
        <color theme="1"/>
        <rFont val="Calibri"/>
        <family val="2"/>
        <scheme val="minor"/>
      </rPr>
      <t xml:space="preserve">Maturities + income performance analysis </t>
    </r>
  </si>
  <si>
    <t>Eerly maturity
date</t>
  </si>
  <si>
    <t>End of term barrier level 
(% of start level)</t>
  </si>
  <si>
    <t>Annual
 income %</t>
  </si>
  <si>
    <t>Payment frequency</t>
  </si>
  <si>
    <t>Memory feature</t>
  </si>
  <si>
    <t>Income condition 
(as % of start level)</t>
  </si>
  <si>
    <t>Early maturity condition 
(as % of start level)</t>
  </si>
  <si>
    <t xml:space="preserve">Index level needed at point of early maturity </t>
  </si>
  <si>
    <t>Total interest received</t>
  </si>
  <si>
    <t>Issue 07, LKO2</t>
  </si>
  <si>
    <r>
      <t xml:space="preserve">Nos of plans launched </t>
    </r>
    <r>
      <rPr>
        <sz val="11"/>
        <color theme="1"/>
        <rFont val="Calibri"/>
        <family val="2"/>
        <scheme val="minor"/>
      </rPr>
      <t xml:space="preserve">(151 LKO plans; 54 LGKO plans; 68 LIP plans; 33 SD plans; and 4 FRD plans: up to and including issue 46 SP; issue 09 SD; and issue 02 FRD) </t>
    </r>
  </si>
  <si>
    <t>Issue 08, LKO2</t>
  </si>
  <si>
    <t>Issue 08, LKO3</t>
  </si>
  <si>
    <t>Kick-out condition 
 (% of start level)</t>
  </si>
  <si>
    <r>
      <t xml:space="preserve">- Average annualised return of plans that required the index to be </t>
    </r>
    <r>
      <rPr>
        <i/>
        <sz val="11"/>
        <color theme="1"/>
        <rFont val="Calibri"/>
        <family val="2"/>
        <scheme val="minor"/>
      </rPr>
      <t>'at or above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100% of start level’</t>
    </r>
    <r>
      <rPr>
        <sz val="11"/>
        <color theme="1"/>
        <rFont val="Calibri"/>
        <family val="2"/>
        <scheme val="minor"/>
      </rPr>
      <t xml:space="preserve"> (12 / 42) (simple | compound)</t>
    </r>
  </si>
  <si>
    <r>
      <t>- Average annualised return of plans that required the index to be</t>
    </r>
    <r>
      <rPr>
        <i/>
        <sz val="11"/>
        <color theme="1"/>
        <rFont val="Calibri"/>
        <family val="2"/>
        <scheme val="minor"/>
      </rPr>
      <t xml:space="preserve"> 'at or above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30% - 82.5% of start level’</t>
    </r>
    <r>
      <rPr>
        <sz val="11"/>
        <color theme="1"/>
        <rFont val="Calibri"/>
        <family val="2"/>
        <scheme val="minor"/>
      </rPr>
      <t xml:space="preserve"> (17 / 42) (simple | compound)</t>
    </r>
  </si>
  <si>
    <r>
      <t xml:space="preserve">- Average annualised return of plans that required the index to be </t>
    </r>
    <r>
      <rPr>
        <i/>
        <sz val="11"/>
        <color theme="1"/>
        <rFont val="Calibri"/>
        <family val="2"/>
        <scheme val="minor"/>
      </rPr>
      <t>'at or above 90% of start level’</t>
    </r>
    <r>
      <rPr>
        <sz val="11"/>
        <color theme="1"/>
        <rFont val="Calibri"/>
        <family val="2"/>
        <scheme val="minor"/>
      </rPr>
      <t xml:space="preserve"> (13 / 42) (simple | compound)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</si>
</sst>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9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2" tint="-0.74999237037263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563C1"/>
      <name val="Calibri"/>
      <family val="2"/>
      <scheme val="minor"/>
    </font>
    <font>
      <u/>
      <sz val="11"/>
      <color rgb="FF0563C1"/>
      <name val="Calibri"/>
      <family val="2"/>
      <scheme val="minor"/>
    </font>
    <font>
      <b/>
      <sz val="11"/>
      <color rgb="FF92D05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333333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53">
    <xf numFmtId="0" fontId="0" fillId="0" borderId="0" xfId="0"/>
    <xf numFmtId="9" fontId="0" fillId="0" borderId="3" xfId="0" applyNumberFormat="1" applyBorder="1" applyAlignment="1">
      <alignment horizontal="center" vertical="center"/>
    </xf>
    <xf numFmtId="9" fontId="2" fillId="2" borderId="1" xfId="1" applyFont="1" applyFill="1" applyBorder="1" applyAlignment="1">
      <alignment horizontal="center" vertical="center"/>
    </xf>
    <xf numFmtId="9" fontId="0" fillId="0" borderId="2" xfId="0" applyNumberFormat="1" applyBorder="1" applyAlignment="1">
      <alignment horizontal="center" vertical="center"/>
    </xf>
    <xf numFmtId="10" fontId="2" fillId="2" borderId="5" xfId="1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10" fontId="2" fillId="2" borderId="1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1" xfId="1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9" fontId="0" fillId="0" borderId="2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22" xfId="0" applyFill="1" applyBorder="1" applyAlignment="1">
      <alignment horizontal="center"/>
    </xf>
    <xf numFmtId="0" fontId="0" fillId="0" borderId="19" xfId="0" applyBorder="1" applyAlignment="1">
      <alignment horizontal="center"/>
    </xf>
    <xf numFmtId="9" fontId="0" fillId="0" borderId="19" xfId="0" applyNumberFormat="1" applyBorder="1" applyAlignment="1">
      <alignment horizontal="center" vertical="center"/>
    </xf>
    <xf numFmtId="0" fontId="0" fillId="0" borderId="2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0" borderId="19" xfId="0" applyNumberForma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4" fontId="2" fillId="0" borderId="28" xfId="0" applyNumberFormat="1" applyFont="1" applyBorder="1" applyAlignment="1">
      <alignment horizontal="center" vertical="center"/>
    </xf>
    <xf numFmtId="10" fontId="0" fillId="0" borderId="6" xfId="0" applyNumberFormat="1" applyBorder="1" applyAlignment="1">
      <alignment horizontal="center"/>
    </xf>
    <xf numFmtId="10" fontId="0" fillId="0" borderId="3" xfId="0" applyNumberFormat="1" applyBorder="1" applyAlignment="1">
      <alignment horizontal="center"/>
    </xf>
    <xf numFmtId="10" fontId="0" fillId="0" borderId="21" xfId="0" applyNumberFormat="1" applyBorder="1" applyAlignment="1">
      <alignment horizontal="center"/>
    </xf>
    <xf numFmtId="10" fontId="0" fillId="0" borderId="29" xfId="0" applyNumberFormat="1" applyBorder="1" applyAlignment="1">
      <alignment horizontal="center" vertical="center"/>
    </xf>
    <xf numFmtId="10" fontId="0" fillId="0" borderId="17" xfId="0" applyNumberFormat="1" applyBorder="1" applyAlignment="1">
      <alignment horizontal="center" vertical="center"/>
    </xf>
    <xf numFmtId="14" fontId="2" fillId="0" borderId="11" xfId="0" applyNumberFormat="1" applyFont="1" applyBorder="1" applyAlignment="1">
      <alignment horizontal="center" vertical="center"/>
    </xf>
    <xf numFmtId="14" fontId="4" fillId="0" borderId="11" xfId="0" applyNumberFormat="1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0" fillId="0" borderId="30" xfId="0" applyBorder="1" applyAlignment="1">
      <alignment horizontal="center"/>
    </xf>
    <xf numFmtId="0" fontId="0" fillId="0" borderId="7" xfId="0" applyBorder="1" applyAlignment="1">
      <alignment horizontal="center"/>
    </xf>
    <xf numFmtId="14" fontId="2" fillId="0" borderId="29" xfId="0" applyNumberFormat="1" applyFont="1" applyBorder="1" applyAlignment="1">
      <alignment horizontal="center" vertical="center"/>
    </xf>
    <xf numFmtId="14" fontId="2" fillId="0" borderId="17" xfId="0" applyNumberFormat="1" applyFont="1" applyBorder="1" applyAlignment="1">
      <alignment horizontal="center" vertical="center"/>
    </xf>
    <xf numFmtId="14" fontId="2" fillId="0" borderId="12" xfId="0" applyNumberFormat="1" applyFont="1" applyBorder="1" applyAlignment="1">
      <alignment horizontal="center" vertical="center"/>
    </xf>
    <xf numFmtId="14" fontId="2" fillId="0" borderId="13" xfId="0" applyNumberFormat="1" applyFont="1" applyBorder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10" fontId="2" fillId="2" borderId="4" xfId="0" applyNumberFormat="1" applyFont="1" applyFill="1" applyBorder="1" applyAlignment="1">
      <alignment horizontal="center" vertical="center"/>
    </xf>
    <xf numFmtId="10" fontId="2" fillId="2" borderId="37" xfId="1" applyNumberFormat="1" applyFont="1" applyFill="1" applyBorder="1" applyAlignment="1">
      <alignment horizontal="center"/>
    </xf>
    <xf numFmtId="10" fontId="2" fillId="2" borderId="4" xfId="1" applyNumberFormat="1" applyFont="1" applyFill="1" applyBorder="1" applyAlignment="1">
      <alignment horizontal="center"/>
    </xf>
    <xf numFmtId="10" fontId="0" fillId="0" borderId="39" xfId="1" applyNumberFormat="1" applyFont="1" applyBorder="1" applyAlignment="1">
      <alignment horizontal="center" vertical="center"/>
    </xf>
    <xf numFmtId="10" fontId="0" fillId="0" borderId="40" xfId="1" applyNumberFormat="1" applyFont="1" applyBorder="1" applyAlignment="1">
      <alignment horizontal="center" vertical="center"/>
    </xf>
    <xf numFmtId="10" fontId="0" fillId="0" borderId="41" xfId="1" applyNumberFormat="1" applyFont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10" fontId="0" fillId="0" borderId="43" xfId="0" applyNumberFormat="1" applyBorder="1" applyAlignment="1">
      <alignment horizontal="center"/>
    </xf>
    <xf numFmtId="10" fontId="0" fillId="0" borderId="2" xfId="0" applyNumberFormat="1" applyBorder="1" applyAlignment="1">
      <alignment horizontal="center"/>
    </xf>
    <xf numFmtId="9" fontId="2" fillId="2" borderId="14" xfId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0" applyNumberFormat="1"/>
    <xf numFmtId="10" fontId="0" fillId="0" borderId="0" xfId="1" applyNumberFormat="1" applyFont="1"/>
    <xf numFmtId="164" fontId="0" fillId="0" borderId="0" xfId="0" applyNumberFormat="1"/>
    <xf numFmtId="10" fontId="0" fillId="0" borderId="0" xfId="0" applyNumberFormat="1"/>
    <xf numFmtId="10" fontId="2" fillId="2" borderId="14" xfId="1" applyNumberFormat="1" applyFont="1" applyFill="1" applyBorder="1" applyAlignment="1">
      <alignment horizontal="center" vertical="center"/>
    </xf>
    <xf numFmtId="9" fontId="2" fillId="3" borderId="1" xfId="0" applyNumberFormat="1" applyFont="1" applyFill="1" applyBorder="1" applyAlignment="1">
      <alignment horizontal="center" vertical="center"/>
    </xf>
    <xf numFmtId="10" fontId="2" fillId="3" borderId="1" xfId="0" applyNumberFormat="1" applyFont="1" applyFill="1" applyBorder="1" applyAlignment="1">
      <alignment horizontal="center" vertical="center"/>
    </xf>
    <xf numFmtId="10" fontId="2" fillId="3" borderId="4" xfId="1" applyNumberFormat="1" applyFont="1" applyFill="1" applyBorder="1" applyAlignment="1">
      <alignment horizontal="center" vertical="center"/>
    </xf>
    <xf numFmtId="10" fontId="2" fillId="3" borderId="14" xfId="1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9" fontId="2" fillId="0" borderId="26" xfId="0" applyNumberFormat="1" applyFont="1" applyBorder="1" applyAlignment="1">
      <alignment horizontal="center"/>
    </xf>
    <xf numFmtId="9" fontId="2" fillId="0" borderId="32" xfId="0" applyNumberFormat="1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9" fontId="2" fillId="0" borderId="31" xfId="0" applyNumberFormat="1" applyFont="1" applyBorder="1" applyAlignment="1">
      <alignment horizontal="center"/>
    </xf>
    <xf numFmtId="10" fontId="2" fillId="0" borderId="17" xfId="0" applyNumberFormat="1" applyFont="1" applyBorder="1" applyAlignment="1">
      <alignment horizontal="center"/>
    </xf>
    <xf numFmtId="10" fontId="0" fillId="0" borderId="40" xfId="1" applyNumberFormat="1" applyFont="1" applyFill="1" applyBorder="1" applyAlignment="1">
      <alignment horizontal="center" vertical="center"/>
    </xf>
    <xf numFmtId="10" fontId="0" fillId="0" borderId="39" xfId="1" applyNumberFormat="1" applyFont="1" applyFill="1" applyBorder="1" applyAlignment="1">
      <alignment horizontal="center" vertical="center"/>
    </xf>
    <xf numFmtId="10" fontId="2" fillId="3" borderId="5" xfId="1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2" fontId="2" fillId="2" borderId="4" xfId="1" applyNumberFormat="1" applyFont="1" applyFill="1" applyBorder="1" applyAlignment="1">
      <alignment horizontal="center" vertical="center"/>
    </xf>
    <xf numFmtId="10" fontId="2" fillId="2" borderId="14" xfId="0" applyNumberFormat="1" applyFont="1" applyFill="1" applyBorder="1" applyAlignment="1">
      <alignment horizontal="center" vertical="center"/>
    </xf>
    <xf numFmtId="10" fontId="2" fillId="2" borderId="5" xfId="0" applyNumberFormat="1" applyFont="1" applyFill="1" applyBorder="1" applyAlignment="1">
      <alignment horizontal="center" vertical="center"/>
    </xf>
    <xf numFmtId="10" fontId="2" fillId="2" borderId="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9" fontId="0" fillId="0" borderId="30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9" fontId="0" fillId="0" borderId="7" xfId="0" applyNumberFormat="1" applyBorder="1" applyAlignment="1">
      <alignment horizontal="center" vertical="center"/>
    </xf>
    <xf numFmtId="10" fontId="2" fillId="0" borderId="27" xfId="0" applyNumberFormat="1" applyFont="1" applyBorder="1" applyAlignment="1">
      <alignment horizontal="center"/>
    </xf>
    <xf numFmtId="10" fontId="2" fillId="0" borderId="8" xfId="0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10" fontId="0" fillId="0" borderId="39" xfId="1" applyNumberFormat="1" applyFont="1" applyBorder="1" applyAlignment="1">
      <alignment horizontal="center"/>
    </xf>
    <xf numFmtId="10" fontId="0" fillId="0" borderId="40" xfId="1" applyNumberFormat="1" applyFont="1" applyBorder="1" applyAlignment="1">
      <alignment horizontal="center"/>
    </xf>
    <xf numFmtId="10" fontId="0" fillId="0" borderId="41" xfId="1" applyNumberFormat="1" applyFont="1" applyBorder="1" applyAlignment="1">
      <alignment horizontal="center"/>
    </xf>
    <xf numFmtId="10" fontId="0" fillId="0" borderId="42" xfId="1" applyNumberFormat="1" applyFont="1" applyBorder="1" applyAlignment="1">
      <alignment horizontal="center"/>
    </xf>
    <xf numFmtId="10" fontId="0" fillId="0" borderId="7" xfId="0" applyNumberFormat="1" applyBorder="1" applyAlignment="1">
      <alignment horizontal="center"/>
    </xf>
    <xf numFmtId="10" fontId="0" fillId="0" borderId="44" xfId="0" applyNumberFormat="1" applyBorder="1" applyAlignment="1">
      <alignment horizontal="center"/>
    </xf>
    <xf numFmtId="10" fontId="0" fillId="0" borderId="39" xfId="0" applyNumberFormat="1" applyBorder="1" applyAlignment="1">
      <alignment horizontal="center" vertical="center"/>
    </xf>
    <xf numFmtId="10" fontId="0" fillId="0" borderId="40" xfId="0" applyNumberFormat="1" applyBorder="1" applyAlignment="1">
      <alignment horizontal="center" vertical="center"/>
    </xf>
    <xf numFmtId="10" fontId="0" fillId="0" borderId="41" xfId="0" applyNumberFormat="1" applyBorder="1" applyAlignment="1">
      <alignment horizontal="center" vertical="center"/>
    </xf>
    <xf numFmtId="10" fontId="0" fillId="0" borderId="30" xfId="1" applyNumberFormat="1" applyFont="1" applyBorder="1" applyAlignment="1">
      <alignment horizontal="center" vertical="center"/>
    </xf>
    <xf numFmtId="10" fontId="0" fillId="0" borderId="6" xfId="1" applyNumberFormat="1" applyFont="1" applyBorder="1" applyAlignment="1">
      <alignment horizontal="center" vertical="center"/>
    </xf>
    <xf numFmtId="10" fontId="0" fillId="0" borderId="7" xfId="1" applyNumberFormat="1" applyFont="1" applyBorder="1" applyAlignment="1">
      <alignment horizontal="center" vertical="center"/>
    </xf>
    <xf numFmtId="10" fontId="6" fillId="0" borderId="33" xfId="0" applyNumberFormat="1" applyFont="1" applyBorder="1" applyAlignment="1">
      <alignment horizontal="center" vertical="center"/>
    </xf>
    <xf numFmtId="10" fontId="6" fillId="0" borderId="34" xfId="0" applyNumberFormat="1" applyFont="1" applyBorder="1" applyAlignment="1">
      <alignment horizontal="center" vertical="center"/>
    </xf>
    <xf numFmtId="10" fontId="6" fillId="0" borderId="27" xfId="0" applyNumberFormat="1" applyFont="1" applyBorder="1" applyAlignment="1">
      <alignment horizontal="center" vertical="center"/>
    </xf>
    <xf numFmtId="10" fontId="6" fillId="0" borderId="9" xfId="0" applyNumberFormat="1" applyFont="1" applyBorder="1" applyAlignment="1">
      <alignment horizontal="center" vertical="center"/>
    </xf>
    <xf numFmtId="10" fontId="6" fillId="0" borderId="45" xfId="0" applyNumberFormat="1" applyFont="1" applyBorder="1" applyAlignment="1">
      <alignment horizontal="center" vertical="center"/>
    </xf>
    <xf numFmtId="10" fontId="2" fillId="0" borderId="46" xfId="0" applyNumberFormat="1" applyFont="1" applyBorder="1" applyAlignment="1">
      <alignment horizontal="center"/>
    </xf>
    <xf numFmtId="0" fontId="2" fillId="0" borderId="33" xfId="0" applyFont="1" applyBorder="1"/>
    <xf numFmtId="0" fontId="2" fillId="0" borderId="34" xfId="0" applyFont="1" applyBorder="1"/>
    <xf numFmtId="0" fontId="2" fillId="0" borderId="35" xfId="0" applyFont="1" applyBorder="1"/>
    <xf numFmtId="0" fontId="2" fillId="0" borderId="14" xfId="0" applyFont="1" applyBorder="1"/>
    <xf numFmtId="10" fontId="2" fillId="0" borderId="27" xfId="0" applyNumberFormat="1" applyFont="1" applyBorder="1" applyAlignment="1">
      <alignment horizontal="center" vertical="center"/>
    </xf>
    <xf numFmtId="9" fontId="7" fillId="0" borderId="41" xfId="0" applyNumberFormat="1" applyFont="1" applyBorder="1" applyAlignment="1">
      <alignment horizontal="center" vertical="center"/>
    </xf>
    <xf numFmtId="10" fontId="2" fillId="0" borderId="33" xfId="0" applyNumberFormat="1" applyFont="1" applyBorder="1" applyAlignment="1">
      <alignment horizontal="center"/>
    </xf>
    <xf numFmtId="10" fontId="2" fillId="0" borderId="35" xfId="0" applyNumberFormat="1" applyFont="1" applyBorder="1" applyAlignment="1">
      <alignment horizontal="center"/>
    </xf>
    <xf numFmtId="10" fontId="2" fillId="2" borderId="15" xfId="1" applyNumberFormat="1" applyFont="1" applyFill="1" applyBorder="1" applyAlignment="1">
      <alignment horizontal="center" vertical="center"/>
    </xf>
    <xf numFmtId="10" fontId="2" fillId="0" borderId="2" xfId="0" applyNumberFormat="1" applyFont="1" applyBorder="1" applyAlignment="1">
      <alignment horizontal="center"/>
    </xf>
    <xf numFmtId="10" fontId="2" fillId="0" borderId="21" xfId="0" applyNumberFormat="1" applyFont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0" xfId="0" applyFill="1"/>
    <xf numFmtId="0" fontId="0" fillId="0" borderId="47" xfId="0" applyBorder="1" applyAlignment="1">
      <alignment horizontal="center"/>
    </xf>
    <xf numFmtId="0" fontId="2" fillId="0" borderId="47" xfId="0" applyFont="1" applyBorder="1" applyAlignment="1">
      <alignment horizontal="center" vertical="center"/>
    </xf>
    <xf numFmtId="0" fontId="0" fillId="0" borderId="43" xfId="0" applyBorder="1" applyAlignment="1">
      <alignment horizontal="center"/>
    </xf>
    <xf numFmtId="9" fontId="0" fillId="0" borderId="43" xfId="0" applyNumberFormat="1" applyBorder="1" applyAlignment="1">
      <alignment horizontal="center" vertical="center"/>
    </xf>
    <xf numFmtId="10" fontId="2" fillId="0" borderId="23" xfId="0" applyNumberFormat="1" applyFont="1" applyBorder="1" applyAlignment="1">
      <alignment horizontal="center"/>
    </xf>
    <xf numFmtId="1" fontId="0" fillId="0" borderId="43" xfId="0" applyNumberForma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0" xfId="0" applyNumberFormat="1" applyAlignment="1">
      <alignment horizontal="center" vertical="center"/>
    </xf>
    <xf numFmtId="10" fontId="6" fillId="0" borderId="36" xfId="0" applyNumberFormat="1" applyFont="1" applyBorder="1" applyAlignment="1">
      <alignment horizontal="center" vertical="center"/>
    </xf>
    <xf numFmtId="10" fontId="0" fillId="0" borderId="0" xfId="1" applyNumberFormat="1" applyFont="1" applyBorder="1" applyAlignment="1">
      <alignment horizontal="center" vertical="center"/>
    </xf>
    <xf numFmtId="10" fontId="0" fillId="0" borderId="48" xfId="0" applyNumberFormat="1" applyBorder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0" fontId="0" fillId="0" borderId="0" xfId="1" applyNumberFormat="1" applyFont="1" applyFill="1" applyBorder="1" applyAlignment="1">
      <alignment horizontal="center" vertical="center"/>
    </xf>
    <xf numFmtId="14" fontId="2" fillId="0" borderId="49" xfId="0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/>
    </xf>
    <xf numFmtId="10" fontId="2" fillId="0" borderId="47" xfId="0" applyNumberFormat="1" applyFont="1" applyBorder="1" applyAlignment="1">
      <alignment horizontal="center"/>
    </xf>
    <xf numFmtId="10" fontId="6" fillId="0" borderId="49" xfId="0" applyNumberFormat="1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8" fillId="0" borderId="0" xfId="0" applyFont="1"/>
    <xf numFmtId="0" fontId="9" fillId="0" borderId="12" xfId="0" applyFont="1" applyBorder="1" applyAlignment="1">
      <alignment horizontal="center"/>
    </xf>
    <xf numFmtId="9" fontId="9" fillId="0" borderId="26" xfId="0" applyNumberFormat="1" applyFont="1" applyBorder="1" applyAlignment="1">
      <alignment horizontal="center"/>
    </xf>
    <xf numFmtId="10" fontId="9" fillId="2" borderId="4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 vertical="center"/>
    </xf>
    <xf numFmtId="10" fontId="2" fillId="2" borderId="15" xfId="1" applyNumberFormat="1" applyFont="1" applyFill="1" applyBorder="1" applyAlignment="1">
      <alignment horizontal="center"/>
    </xf>
    <xf numFmtId="10" fontId="2" fillId="3" borderId="15" xfId="1" applyNumberFormat="1" applyFont="1" applyFill="1" applyBorder="1" applyAlignment="1">
      <alignment horizontal="center" vertical="center"/>
    </xf>
    <xf numFmtId="10" fontId="2" fillId="0" borderId="3" xfId="0" applyNumberFormat="1" applyFont="1" applyBorder="1" applyAlignment="1">
      <alignment horizontal="center"/>
    </xf>
    <xf numFmtId="10" fontId="2" fillId="0" borderId="12" xfId="0" applyNumberFormat="1" applyFont="1" applyBorder="1" applyAlignment="1">
      <alignment horizontal="center"/>
    </xf>
    <xf numFmtId="10" fontId="2" fillId="0" borderId="11" xfId="0" applyNumberFormat="1" applyFont="1" applyBorder="1" applyAlignment="1">
      <alignment horizontal="center"/>
    </xf>
    <xf numFmtId="10" fontId="2" fillId="0" borderId="50" xfId="0" applyNumberFormat="1" applyFont="1" applyBorder="1" applyAlignment="1">
      <alignment horizontal="center"/>
    </xf>
    <xf numFmtId="10" fontId="2" fillId="0" borderId="51" xfId="0" applyNumberFormat="1" applyFont="1" applyBorder="1" applyAlignment="1">
      <alignment horizontal="center"/>
    </xf>
    <xf numFmtId="10" fontId="2" fillId="0" borderId="52" xfId="0" applyNumberFormat="1" applyFont="1" applyBorder="1" applyAlignment="1">
      <alignment horizontal="center"/>
    </xf>
    <xf numFmtId="9" fontId="2" fillId="0" borderId="50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0" fontId="2" fillId="0" borderId="27" xfId="0" applyFont="1" applyBorder="1"/>
    <xf numFmtId="10" fontId="2" fillId="0" borderId="28" xfId="1" applyNumberFormat="1" applyFont="1" applyBorder="1" applyAlignment="1">
      <alignment horizontal="center" vertical="center"/>
    </xf>
    <xf numFmtId="10" fontId="2" fillId="0" borderId="29" xfId="1" applyNumberFormat="1" applyFont="1" applyBorder="1" applyAlignment="1">
      <alignment horizontal="center" vertical="center"/>
    </xf>
    <xf numFmtId="0" fontId="2" fillId="0" borderId="54" xfId="0" applyFont="1" applyBorder="1"/>
    <xf numFmtId="0" fontId="0" fillId="2" borderId="34" xfId="0" quotePrefix="1" applyFill="1" applyBorder="1"/>
    <xf numFmtId="0" fontId="0" fillId="0" borderId="34" xfId="0" quotePrefix="1" applyBorder="1"/>
    <xf numFmtId="0" fontId="0" fillId="0" borderId="9" xfId="0" quotePrefix="1" applyBorder="1"/>
    <xf numFmtId="0" fontId="0" fillId="0" borderId="20" xfId="0" quotePrefix="1" applyBorder="1"/>
    <xf numFmtId="0" fontId="0" fillId="0" borderId="35" xfId="0" quotePrefix="1" applyBorder="1"/>
    <xf numFmtId="0" fontId="2" fillId="0" borderId="49" xfId="0" applyFont="1" applyBorder="1" applyAlignment="1">
      <alignment horizontal="center" vertical="center"/>
    </xf>
    <xf numFmtId="0" fontId="10" fillId="0" borderId="34" xfId="2" applyBorder="1" applyAlignment="1">
      <alignment horizontal="center" vertical="center"/>
    </xf>
    <xf numFmtId="0" fontId="10" fillId="0" borderId="54" xfId="2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4" xfId="0" quotePrefix="1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10" fontId="1" fillId="2" borderId="12" xfId="1" applyNumberFormat="1" applyFont="1" applyFill="1" applyBorder="1" applyAlignment="1">
      <alignment horizontal="center"/>
    </xf>
    <xf numFmtId="10" fontId="1" fillId="2" borderId="17" xfId="1" applyNumberFormat="1" applyFont="1" applyFill="1" applyBorder="1" applyAlignment="1">
      <alignment horizontal="center"/>
    </xf>
    <xf numFmtId="10" fontId="1" fillId="0" borderId="12" xfId="1" applyNumberFormat="1" applyFont="1" applyBorder="1" applyAlignment="1">
      <alignment horizontal="center" vertical="center"/>
    </xf>
    <xf numFmtId="10" fontId="1" fillId="0" borderId="17" xfId="1" applyNumberFormat="1" applyFont="1" applyBorder="1" applyAlignment="1">
      <alignment horizontal="center" vertical="center"/>
    </xf>
    <xf numFmtId="10" fontId="1" fillId="0" borderId="13" xfId="1" applyNumberFormat="1" applyFont="1" applyBorder="1" applyAlignment="1">
      <alignment horizontal="center" vertical="center"/>
    </xf>
    <xf numFmtId="10" fontId="1" fillId="0" borderId="18" xfId="1" applyNumberFormat="1" applyFont="1" applyBorder="1" applyAlignment="1">
      <alignment horizontal="center" vertical="center"/>
    </xf>
    <xf numFmtId="0" fontId="2" fillId="6" borderId="33" xfId="0" applyFont="1" applyFill="1" applyBorder="1"/>
    <xf numFmtId="10" fontId="2" fillId="6" borderId="28" xfId="1" applyNumberFormat="1" applyFont="1" applyFill="1" applyBorder="1" applyAlignment="1">
      <alignment horizontal="center"/>
    </xf>
    <xf numFmtId="10" fontId="2" fillId="6" borderId="29" xfId="1" applyNumberFormat="1" applyFont="1" applyFill="1" applyBorder="1" applyAlignment="1">
      <alignment horizontal="center"/>
    </xf>
    <xf numFmtId="0" fontId="2" fillId="6" borderId="34" xfId="0" applyFont="1" applyFill="1" applyBorder="1"/>
    <xf numFmtId="10" fontId="2" fillId="6" borderId="12" xfId="1" applyNumberFormat="1" applyFont="1" applyFill="1" applyBorder="1" applyAlignment="1">
      <alignment horizontal="center"/>
    </xf>
    <xf numFmtId="10" fontId="2" fillId="6" borderId="17" xfId="1" applyNumberFormat="1" applyFont="1" applyFill="1" applyBorder="1" applyAlignment="1">
      <alignment horizontal="center"/>
    </xf>
    <xf numFmtId="9" fontId="2" fillId="6" borderId="28" xfId="0" applyNumberFormat="1" applyFont="1" applyFill="1" applyBorder="1" applyAlignment="1">
      <alignment horizontal="center"/>
    </xf>
    <xf numFmtId="9" fontId="2" fillId="6" borderId="29" xfId="0" applyNumberFormat="1" applyFont="1" applyFill="1" applyBorder="1" applyAlignment="1">
      <alignment horizontal="center"/>
    </xf>
    <xf numFmtId="9" fontId="2" fillId="6" borderId="12" xfId="0" applyNumberFormat="1" applyFont="1" applyFill="1" applyBorder="1" applyAlignment="1">
      <alignment horizontal="center"/>
    </xf>
    <xf numFmtId="9" fontId="2" fillId="6" borderId="17" xfId="0" applyNumberFormat="1" applyFont="1" applyFill="1" applyBorder="1" applyAlignment="1">
      <alignment horizontal="center"/>
    </xf>
    <xf numFmtId="0" fontId="2" fillId="6" borderId="35" xfId="0" applyFont="1" applyFill="1" applyBorder="1"/>
    <xf numFmtId="0" fontId="2" fillId="6" borderId="27" xfId="0" applyFont="1" applyFill="1" applyBorder="1"/>
    <xf numFmtId="10" fontId="2" fillId="6" borderId="29" xfId="0" applyNumberFormat="1" applyFont="1" applyFill="1" applyBorder="1" applyAlignment="1">
      <alignment horizontal="center"/>
    </xf>
    <xf numFmtId="0" fontId="2" fillId="6" borderId="9" xfId="0" applyFont="1" applyFill="1" applyBorder="1"/>
    <xf numFmtId="10" fontId="2" fillId="6" borderId="17" xfId="0" applyNumberFormat="1" applyFont="1" applyFill="1" applyBorder="1" applyAlignment="1">
      <alignment horizontal="center"/>
    </xf>
    <xf numFmtId="10" fontId="9" fillId="6" borderId="12" xfId="1" applyNumberFormat="1" applyFont="1" applyFill="1" applyBorder="1" applyAlignment="1">
      <alignment horizontal="center"/>
    </xf>
    <xf numFmtId="10" fontId="9" fillId="6" borderId="17" xfId="0" applyNumberFormat="1" applyFont="1" applyFill="1" applyBorder="1" applyAlignment="1">
      <alignment horizontal="center"/>
    </xf>
    <xf numFmtId="0" fontId="0" fillId="5" borderId="9" xfId="0" quotePrefix="1" applyFill="1" applyBorder="1"/>
    <xf numFmtId="10" fontId="15" fillId="5" borderId="12" xfId="1" applyNumberFormat="1" applyFont="1" applyFill="1" applyBorder="1" applyAlignment="1">
      <alignment horizontal="center"/>
    </xf>
    <xf numFmtId="10" fontId="15" fillId="5" borderId="26" xfId="1" applyNumberFormat="1" applyFont="1" applyFill="1" applyBorder="1" applyAlignment="1">
      <alignment horizontal="center"/>
    </xf>
    <xf numFmtId="0" fontId="0" fillId="5" borderId="45" xfId="0" quotePrefix="1" applyFill="1" applyBorder="1"/>
    <xf numFmtId="10" fontId="15" fillId="5" borderId="13" xfId="1" applyNumberFormat="1" applyFont="1" applyFill="1" applyBorder="1" applyAlignment="1">
      <alignment horizontal="center"/>
    </xf>
    <xf numFmtId="10" fontId="15" fillId="5" borderId="32" xfId="1" applyNumberFormat="1" applyFont="1" applyFill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9" fontId="0" fillId="0" borderId="17" xfId="0" applyNumberFormat="1" applyBorder="1" applyAlignment="1">
      <alignment horizontal="center"/>
    </xf>
    <xf numFmtId="0" fontId="0" fillId="4" borderId="34" xfId="0" quotePrefix="1" applyFill="1" applyBorder="1"/>
    <xf numFmtId="0" fontId="0" fillId="4" borderId="12" xfId="0" applyFill="1" applyBorder="1" applyAlignment="1">
      <alignment horizontal="center"/>
    </xf>
    <xf numFmtId="9" fontId="0" fillId="4" borderId="26" xfId="0" applyNumberFormat="1" applyFill="1" applyBorder="1" applyAlignment="1">
      <alignment horizontal="center"/>
    </xf>
    <xf numFmtId="0" fontId="16" fillId="0" borderId="9" xfId="0" applyFont="1" applyBorder="1" applyAlignment="1">
      <alignment horizontal="center"/>
    </xf>
    <xf numFmtId="0" fontId="10" fillId="0" borderId="55" xfId="2" applyBorder="1" applyAlignment="1">
      <alignment horizontal="center" vertical="center"/>
    </xf>
    <xf numFmtId="0" fontId="16" fillId="0" borderId="7" xfId="0" applyFont="1" applyBorder="1" applyAlignment="1">
      <alignment horizontal="center"/>
    </xf>
    <xf numFmtId="9" fontId="16" fillId="0" borderId="7" xfId="0" applyNumberFormat="1" applyFont="1" applyBorder="1" applyAlignment="1">
      <alignment horizontal="center" vertical="center"/>
    </xf>
    <xf numFmtId="0" fontId="16" fillId="0" borderId="55" xfId="0" applyFont="1" applyBorder="1" applyAlignment="1">
      <alignment horizontal="center"/>
    </xf>
    <xf numFmtId="10" fontId="4" fillId="0" borderId="9" xfId="0" applyNumberFormat="1" applyFont="1" applyBorder="1" applyAlignment="1">
      <alignment horizontal="center"/>
    </xf>
    <xf numFmtId="1" fontId="16" fillId="0" borderId="7" xfId="0" applyNumberFormat="1" applyFont="1" applyBorder="1" applyAlignment="1">
      <alignment horizontal="center" vertical="center"/>
    </xf>
    <xf numFmtId="10" fontId="16" fillId="0" borderId="55" xfId="0" applyNumberFormat="1" applyFont="1" applyBorder="1" applyAlignment="1">
      <alignment horizontal="center"/>
    </xf>
    <xf numFmtId="10" fontId="4" fillId="0" borderId="12" xfId="0" applyNumberFormat="1" applyFont="1" applyBorder="1" applyAlignment="1">
      <alignment horizontal="center"/>
    </xf>
    <xf numFmtId="10" fontId="4" fillId="0" borderId="7" xfId="0" applyNumberFormat="1" applyFont="1" applyBorder="1" applyAlignment="1">
      <alignment horizontal="center"/>
    </xf>
    <xf numFmtId="10" fontId="4" fillId="0" borderId="26" xfId="0" applyNumberFormat="1" applyFont="1" applyBorder="1" applyAlignment="1">
      <alignment horizontal="center"/>
    </xf>
    <xf numFmtId="10" fontId="16" fillId="0" borderId="7" xfId="0" applyNumberFormat="1" applyFont="1" applyBorder="1" applyAlignment="1">
      <alignment horizontal="center"/>
    </xf>
    <xf numFmtId="10" fontId="16" fillId="0" borderId="6" xfId="0" applyNumberFormat="1" applyFont="1" applyBorder="1" applyAlignment="1">
      <alignment horizontal="center"/>
    </xf>
    <xf numFmtId="10" fontId="16" fillId="0" borderId="55" xfId="0" applyNumberFormat="1" applyFont="1" applyBorder="1" applyAlignment="1">
      <alignment horizontal="center" vertical="center"/>
    </xf>
    <xf numFmtId="10" fontId="13" fillId="0" borderId="34" xfId="0" applyNumberFormat="1" applyFont="1" applyBorder="1" applyAlignment="1">
      <alignment horizontal="center" vertical="center"/>
    </xf>
    <xf numFmtId="10" fontId="13" fillId="0" borderId="9" xfId="0" applyNumberFormat="1" applyFont="1" applyBorder="1" applyAlignment="1">
      <alignment horizontal="center" vertical="center"/>
    </xf>
    <xf numFmtId="10" fontId="16" fillId="0" borderId="7" xfId="0" applyNumberFormat="1" applyFont="1" applyBorder="1" applyAlignment="1">
      <alignment horizontal="center" vertical="center"/>
    </xf>
    <xf numFmtId="10" fontId="16" fillId="0" borderId="41" xfId="0" applyNumberFormat="1" applyFont="1" applyBorder="1" applyAlignment="1">
      <alignment horizontal="center" vertical="center"/>
    </xf>
    <xf numFmtId="10" fontId="16" fillId="0" borderId="17" xfId="0" applyNumberFormat="1" applyFont="1" applyBorder="1" applyAlignment="1">
      <alignment horizontal="center" vertical="center"/>
    </xf>
    <xf numFmtId="0" fontId="16" fillId="0" borderId="0" xfId="0" applyFont="1"/>
    <xf numFmtId="9" fontId="16" fillId="0" borderId="0" xfId="0" applyNumberFormat="1" applyFont="1"/>
    <xf numFmtId="9" fontId="2" fillId="0" borderId="17" xfId="0" applyNumberFormat="1" applyFont="1" applyBorder="1" applyAlignment="1">
      <alignment horizontal="center"/>
    </xf>
    <xf numFmtId="10" fontId="2" fillId="4" borderId="17" xfId="1" applyNumberFormat="1" applyFont="1" applyFill="1" applyBorder="1" applyAlignment="1">
      <alignment horizontal="center"/>
    </xf>
    <xf numFmtId="10" fontId="9" fillId="5" borderId="17" xfId="1" applyNumberFormat="1" applyFont="1" applyFill="1" applyBorder="1" applyAlignment="1">
      <alignment horizontal="center" vertical="center"/>
    </xf>
    <xf numFmtId="10" fontId="2" fillId="0" borderId="17" xfId="1" applyNumberFormat="1" applyFont="1" applyBorder="1" applyAlignment="1">
      <alignment horizontal="center" vertical="center"/>
    </xf>
    <xf numFmtId="1" fontId="2" fillId="0" borderId="28" xfId="0" applyNumberFormat="1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0" fontId="2" fillId="4" borderId="12" xfId="1" applyNumberFormat="1" applyFont="1" applyFill="1" applyBorder="1" applyAlignment="1">
      <alignment horizontal="center"/>
    </xf>
    <xf numFmtId="10" fontId="9" fillId="5" borderId="12" xfId="1" applyNumberFormat="1" applyFont="1" applyFill="1" applyBorder="1" applyAlignment="1">
      <alignment horizontal="center" vertical="center"/>
    </xf>
    <xf numFmtId="10" fontId="2" fillId="0" borderId="12" xfId="1" applyNumberFormat="1" applyFont="1" applyBorder="1" applyAlignment="1">
      <alignment horizontal="center" vertical="center"/>
    </xf>
    <xf numFmtId="0" fontId="2" fillId="6" borderId="56" xfId="0" applyFont="1" applyFill="1" applyBorder="1"/>
    <xf numFmtId="10" fontId="2" fillId="6" borderId="51" xfId="1" applyNumberFormat="1" applyFont="1" applyFill="1" applyBorder="1" applyAlignment="1">
      <alignment horizontal="center"/>
    </xf>
    <xf numFmtId="10" fontId="2" fillId="6" borderId="52" xfId="1" applyNumberFormat="1" applyFont="1" applyFill="1" applyBorder="1" applyAlignment="1">
      <alignment horizontal="center"/>
    </xf>
    <xf numFmtId="10" fontId="9" fillId="4" borderId="13" xfId="1" applyNumberFormat="1" applyFont="1" applyFill="1" applyBorder="1" applyAlignment="1">
      <alignment horizontal="center"/>
    </xf>
    <xf numFmtId="10" fontId="9" fillId="4" borderId="18" xfId="1" applyNumberFormat="1" applyFont="1" applyFill="1" applyBorder="1" applyAlignment="1">
      <alignment horizontal="center"/>
    </xf>
    <xf numFmtId="0" fontId="0" fillId="4" borderId="34" xfId="0" applyFill="1" applyBorder="1"/>
    <xf numFmtId="0" fontId="0" fillId="4" borderId="35" xfId="0" applyFill="1" applyBorder="1"/>
    <xf numFmtId="0" fontId="2" fillId="5" borderId="34" xfId="0" quotePrefix="1" applyFont="1" applyFill="1" applyBorder="1"/>
    <xf numFmtId="0" fontId="2" fillId="0" borderId="34" xfId="0" quotePrefix="1" applyFont="1" applyBorder="1"/>
    <xf numFmtId="0" fontId="2" fillId="0" borderId="36" xfId="0" quotePrefix="1" applyFont="1" applyBorder="1"/>
    <xf numFmtId="0" fontId="2" fillId="0" borderId="9" xfId="0" quotePrefix="1" applyFont="1" applyBorder="1"/>
    <xf numFmtId="0" fontId="2" fillId="0" borderId="54" xfId="0" quotePrefix="1" applyFont="1" applyBorder="1"/>
    <xf numFmtId="10" fontId="2" fillId="0" borderId="11" xfId="1" applyNumberFormat="1" applyFont="1" applyBorder="1" applyAlignment="1">
      <alignment horizontal="center" vertical="center"/>
    </xf>
    <xf numFmtId="10" fontId="2" fillId="0" borderId="50" xfId="1" applyNumberFormat="1" applyFont="1" applyBorder="1" applyAlignment="1">
      <alignment horizontal="center" vertical="center"/>
    </xf>
    <xf numFmtId="0" fontId="2" fillId="5" borderId="33" xfId="0" quotePrefix="1" applyFont="1" applyFill="1" applyBorder="1" applyAlignment="1">
      <alignment wrapText="1"/>
    </xf>
    <xf numFmtId="10" fontId="9" fillId="5" borderId="28" xfId="1" applyNumberFormat="1" applyFont="1" applyFill="1" applyBorder="1" applyAlignment="1">
      <alignment horizontal="center" vertical="center"/>
    </xf>
    <xf numFmtId="10" fontId="9" fillId="5" borderId="29" xfId="1" applyNumberFormat="1" applyFont="1" applyFill="1" applyBorder="1" applyAlignment="1">
      <alignment horizontal="center" vertical="center"/>
    </xf>
    <xf numFmtId="0" fontId="2" fillId="5" borderId="35" xfId="0" applyFont="1" applyFill="1" applyBorder="1"/>
    <xf numFmtId="10" fontId="9" fillId="5" borderId="13" xfId="1" applyNumberFormat="1" applyFont="1" applyFill="1" applyBorder="1" applyAlignment="1">
      <alignment horizontal="center" vertical="center"/>
    </xf>
    <xf numFmtId="10" fontId="9" fillId="5" borderId="18" xfId="1" applyNumberFormat="1" applyFont="1" applyFill="1" applyBorder="1" applyAlignment="1">
      <alignment horizontal="center" vertical="center"/>
    </xf>
    <xf numFmtId="0" fontId="2" fillId="0" borderId="56" xfId="0" applyFont="1" applyBorder="1"/>
    <xf numFmtId="1" fontId="2" fillId="0" borderId="51" xfId="0" applyNumberFormat="1" applyFont="1" applyBorder="1" applyAlignment="1">
      <alignment horizontal="center"/>
    </xf>
    <xf numFmtId="9" fontId="2" fillId="0" borderId="52" xfId="0" applyNumberFormat="1" applyFont="1" applyBorder="1" applyAlignment="1">
      <alignment horizontal="center"/>
    </xf>
    <xf numFmtId="1" fontId="2" fillId="0" borderId="11" xfId="0" applyNumberFormat="1" applyFont="1" applyBorder="1" applyAlignment="1">
      <alignment horizontal="center"/>
    </xf>
    <xf numFmtId="10" fontId="2" fillId="6" borderId="13" xfId="1" applyNumberFormat="1" applyFont="1" applyFill="1" applyBorder="1" applyAlignment="1">
      <alignment horizontal="center"/>
    </xf>
    <xf numFmtId="10" fontId="2" fillId="6" borderId="18" xfId="1" applyNumberFormat="1" applyFont="1" applyFill="1" applyBorder="1" applyAlignment="1">
      <alignment horizontal="center"/>
    </xf>
    <xf numFmtId="0" fontId="0" fillId="4" borderId="56" xfId="0" applyFill="1" applyBorder="1"/>
    <xf numFmtId="10" fontId="9" fillId="4" borderId="51" xfId="1" applyNumberFormat="1" applyFont="1" applyFill="1" applyBorder="1" applyAlignment="1">
      <alignment horizontal="center"/>
    </xf>
    <xf numFmtId="10" fontId="9" fillId="4" borderId="52" xfId="1" applyNumberFormat="1" applyFont="1" applyFill="1" applyBorder="1" applyAlignment="1">
      <alignment horizontal="center"/>
    </xf>
    <xf numFmtId="9" fontId="2" fillId="0" borderId="17" xfId="1" applyFont="1" applyBorder="1" applyAlignment="1">
      <alignment horizontal="center" vertical="center"/>
    </xf>
    <xf numFmtId="9" fontId="2" fillId="0" borderId="12" xfId="1" applyFont="1" applyBorder="1" applyAlignment="1">
      <alignment horizontal="center" vertical="center"/>
    </xf>
    <xf numFmtId="9" fontId="2" fillId="0" borderId="11" xfId="1" applyFont="1" applyBorder="1" applyAlignment="1">
      <alignment horizontal="center" vertical="center"/>
    </xf>
    <xf numFmtId="9" fontId="2" fillId="0" borderId="50" xfId="1" applyFont="1" applyBorder="1" applyAlignment="1">
      <alignment horizontal="center" vertical="center"/>
    </xf>
    <xf numFmtId="10" fontId="2" fillId="0" borderId="34" xfId="0" applyNumberFormat="1" applyFon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13" fillId="0" borderId="47" xfId="0" applyFont="1" applyBorder="1" applyAlignment="1">
      <alignment horizontal="center" vertical="center"/>
    </xf>
    <xf numFmtId="0" fontId="2" fillId="2" borderId="14" xfId="0" quotePrefix="1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10" fillId="0" borderId="8" xfId="2" applyBorder="1" applyAlignment="1">
      <alignment horizontal="center" vertical="center"/>
    </xf>
    <xf numFmtId="0" fontId="10" fillId="0" borderId="9" xfId="2" applyBorder="1" applyAlignment="1">
      <alignment horizontal="center" vertical="center"/>
    </xf>
    <xf numFmtId="0" fontId="10" fillId="0" borderId="0" xfId="2" applyFill="1" applyAlignment="1">
      <alignment horizontal="center"/>
    </xf>
    <xf numFmtId="0" fontId="10" fillId="0" borderId="47" xfId="2" applyBorder="1" applyAlignment="1">
      <alignment horizontal="center" vertical="center"/>
    </xf>
    <xf numFmtId="0" fontId="0" fillId="0" borderId="49" xfId="0" applyBorder="1" applyAlignment="1">
      <alignment horizontal="center"/>
    </xf>
    <xf numFmtId="0" fontId="0" fillId="0" borderId="6" xfId="0" applyBorder="1" applyAlignment="1">
      <alignment horizontal="center"/>
    </xf>
    <xf numFmtId="0" fontId="10" fillId="0" borderId="7" xfId="2" applyFill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0" fillId="0" borderId="45" xfId="0" applyBorder="1" applyAlignment="1">
      <alignment horizontal="center"/>
    </xf>
    <xf numFmtId="10" fontId="0" fillId="0" borderId="3" xfId="1" applyNumberFormat="1" applyFont="1" applyBorder="1" applyAlignment="1">
      <alignment horizontal="center" vertical="center"/>
    </xf>
    <xf numFmtId="10" fontId="2" fillId="0" borderId="13" xfId="0" applyNumberFormat="1" applyFont="1" applyBorder="1" applyAlignment="1">
      <alignment horizontal="center"/>
    </xf>
    <xf numFmtId="4" fontId="17" fillId="0" borderId="0" xfId="0" applyNumberFormat="1" applyFont="1"/>
    <xf numFmtId="2" fontId="0" fillId="0" borderId="0" xfId="0" applyNumberFormat="1"/>
    <xf numFmtId="14" fontId="2" fillId="0" borderId="51" xfId="0" applyNumberFormat="1" applyFont="1" applyBorder="1" applyAlignment="1">
      <alignment horizontal="center" vertical="center"/>
    </xf>
    <xf numFmtId="14" fontId="2" fillId="0" borderId="52" xfId="0" applyNumberFormat="1" applyFont="1" applyBorder="1" applyAlignment="1">
      <alignment horizontal="center" vertical="center"/>
    </xf>
    <xf numFmtId="10" fontId="2" fillId="0" borderId="20" xfId="0" applyNumberFormat="1" applyFont="1" applyBorder="1" applyAlignment="1">
      <alignment horizontal="center"/>
    </xf>
    <xf numFmtId="14" fontId="2" fillId="0" borderId="33" xfId="0" applyNumberFormat="1" applyFont="1" applyBorder="1" applyAlignment="1">
      <alignment horizontal="center" vertical="center"/>
    </xf>
    <xf numFmtId="14" fontId="2" fillId="0" borderId="34" xfId="0" applyNumberFormat="1" applyFont="1" applyBorder="1" applyAlignment="1">
      <alignment horizontal="center" vertical="center"/>
    </xf>
    <xf numFmtId="14" fontId="2" fillId="0" borderId="36" xfId="0" applyNumberFormat="1" applyFont="1" applyBorder="1" applyAlignment="1">
      <alignment horizontal="center" vertical="center"/>
    </xf>
    <xf numFmtId="14" fontId="2" fillId="0" borderId="27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14" fontId="2" fillId="0" borderId="46" xfId="0" applyNumberFormat="1" applyFont="1" applyBorder="1" applyAlignment="1">
      <alignment horizontal="center" vertical="center"/>
    </xf>
    <xf numFmtId="10" fontId="6" fillId="0" borderId="20" xfId="0" applyNumberFormat="1" applyFont="1" applyBorder="1" applyAlignment="1">
      <alignment horizontal="center" vertical="center"/>
    </xf>
    <xf numFmtId="10" fontId="6" fillId="0" borderId="47" xfId="0" applyNumberFormat="1" applyFont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2" fontId="2" fillId="0" borderId="15" xfId="0" applyNumberFormat="1" applyFont="1" applyBorder="1" applyAlignment="1">
      <alignment horizontal="center"/>
    </xf>
    <xf numFmtId="14" fontId="4" fillId="0" borderId="54" xfId="0" applyNumberFormat="1" applyFont="1" applyBorder="1" applyAlignment="1">
      <alignment horizontal="center" vertical="center"/>
    </xf>
    <xf numFmtId="14" fontId="4" fillId="0" borderId="34" xfId="0" applyNumberFormat="1" applyFont="1" applyBorder="1" applyAlignment="1">
      <alignment horizontal="center" vertical="center"/>
    </xf>
    <xf numFmtId="14" fontId="2" fillId="0" borderId="54" xfId="0" applyNumberFormat="1" applyFont="1" applyBorder="1" applyAlignment="1">
      <alignment horizontal="center" vertical="center"/>
    </xf>
    <xf numFmtId="14" fontId="4" fillId="0" borderId="9" xfId="0" applyNumberFormat="1" applyFont="1" applyBorder="1" applyAlignment="1">
      <alignment horizontal="center" vertical="center"/>
    </xf>
    <xf numFmtId="14" fontId="2" fillId="0" borderId="41" xfId="0" applyNumberFormat="1" applyFont="1" applyBorder="1" applyAlignment="1">
      <alignment horizontal="center" vertical="center"/>
    </xf>
    <xf numFmtId="14" fontId="2" fillId="0" borderId="45" xfId="0" applyNumberFormat="1" applyFont="1" applyBorder="1" applyAlignment="1">
      <alignment horizontal="center" vertical="center"/>
    </xf>
    <xf numFmtId="10" fontId="2" fillId="0" borderId="54" xfId="0" applyNumberFormat="1" applyFont="1" applyBorder="1" applyAlignment="1">
      <alignment horizontal="center"/>
    </xf>
    <xf numFmtId="10" fontId="2" fillId="0" borderId="26" xfId="0" applyNumberFormat="1" applyFont="1" applyBorder="1" applyAlignment="1">
      <alignment horizontal="center"/>
    </xf>
    <xf numFmtId="10" fontId="2" fillId="0" borderId="45" xfId="0" applyNumberFormat="1" applyFont="1" applyBorder="1" applyAlignment="1">
      <alignment horizontal="center"/>
    </xf>
    <xf numFmtId="10" fontId="6" fillId="0" borderId="8" xfId="0" applyNumberFormat="1" applyFont="1" applyBorder="1" applyAlignment="1">
      <alignment horizontal="center" vertical="center"/>
    </xf>
    <xf numFmtId="14" fontId="2" fillId="0" borderId="55" xfId="0" applyNumberFormat="1" applyFont="1" applyBorder="1" applyAlignment="1">
      <alignment horizontal="center" vertical="center"/>
    </xf>
    <xf numFmtId="14" fontId="2" fillId="0" borderId="47" xfId="0" applyNumberFormat="1" applyFont="1" applyBorder="1" applyAlignment="1">
      <alignment horizontal="center" vertical="center"/>
    </xf>
    <xf numFmtId="9" fontId="2" fillId="0" borderId="14" xfId="0" applyNumberFormat="1" applyFont="1" applyBorder="1" applyAlignment="1">
      <alignment horizontal="center"/>
    </xf>
    <xf numFmtId="9" fontId="2" fillId="0" borderId="15" xfId="0" applyNumberFormat="1" applyFont="1" applyBorder="1" applyAlignment="1">
      <alignment horizontal="center"/>
    </xf>
    <xf numFmtId="0" fontId="2" fillId="6" borderId="14" xfId="0" applyFont="1" applyFill="1" applyBorder="1" applyAlignment="1">
      <alignment horizontal="left"/>
    </xf>
    <xf numFmtId="0" fontId="2" fillId="6" borderId="10" xfId="0" applyFont="1" applyFill="1" applyBorder="1" applyAlignment="1">
      <alignment horizontal="left"/>
    </xf>
    <xf numFmtId="0" fontId="2" fillId="6" borderId="15" xfId="0" applyFont="1" applyFill="1" applyBorder="1" applyAlignment="1">
      <alignment horizontal="left"/>
    </xf>
    <xf numFmtId="0" fontId="2" fillId="0" borderId="33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0" fillId="4" borderId="35" xfId="0" applyNumberFormat="1" applyFill="1" applyBorder="1" applyAlignment="1">
      <alignment horizontal="center"/>
    </xf>
    <xf numFmtId="164" fontId="0" fillId="4" borderId="32" xfId="0" applyNumberFormat="1" applyFill="1" applyBorder="1" applyAlignment="1">
      <alignment horizontal="center"/>
    </xf>
    <xf numFmtId="164" fontId="2" fillId="6" borderId="35" xfId="1" applyNumberFormat="1" applyFont="1" applyFill="1" applyBorder="1" applyAlignment="1">
      <alignment horizontal="center"/>
    </xf>
    <xf numFmtId="164" fontId="2" fillId="6" borderId="32" xfId="1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5" borderId="53" xfId="0" applyFont="1" applyFill="1" applyBorder="1" applyAlignment="1">
      <alignment horizontal="left"/>
    </xf>
    <xf numFmtId="0" fontId="2" fillId="5" borderId="16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right"/>
    </xf>
    <xf numFmtId="0" fontId="2" fillId="2" borderId="10" xfId="0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right"/>
    </xf>
    <xf numFmtId="0" fontId="2" fillId="2" borderId="15" xfId="0" applyFont="1" applyFill="1" applyBorder="1" applyAlignment="1">
      <alignment horizontal="right"/>
    </xf>
    <xf numFmtId="0" fontId="2" fillId="2" borderId="23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24" xfId="0" applyFont="1" applyFill="1" applyBorder="1" applyAlignment="1">
      <alignment horizontal="left"/>
    </xf>
    <xf numFmtId="0" fontId="2" fillId="2" borderId="38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2" fillId="2" borderId="16" xfId="0" applyFont="1" applyFill="1" applyBorder="1" applyAlignment="1">
      <alignment horizontal="right"/>
    </xf>
    <xf numFmtId="0" fontId="2" fillId="2" borderId="0" xfId="0" applyFont="1" applyFill="1" applyAlignment="1">
      <alignment horizontal="right"/>
    </xf>
    <xf numFmtId="10" fontId="2" fillId="0" borderId="35" xfId="1" applyNumberFormat="1" applyFont="1" applyBorder="1" applyAlignment="1">
      <alignment horizontal="center" vertical="center"/>
    </xf>
    <xf numFmtId="10" fontId="2" fillId="0" borderId="32" xfId="1" applyNumberFormat="1" applyFont="1" applyBorder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10">
    <dxf>
      <font>
        <color rgb="FFFF0000"/>
      </font>
      <fill>
        <patternFill patternType="none">
          <bgColor auto="1"/>
        </patternFill>
      </fill>
    </dxf>
    <dxf>
      <font>
        <color rgb="FF92D050"/>
      </font>
    </dxf>
    <dxf>
      <font>
        <color rgb="FFFF0000"/>
      </font>
      <fill>
        <patternFill patternType="none">
          <bgColor auto="1"/>
        </patternFill>
      </fill>
    </dxf>
    <dxf>
      <font>
        <color rgb="FF92D050"/>
      </font>
    </dxf>
    <dxf>
      <font>
        <color rgb="FFFF0000"/>
      </font>
      <fill>
        <patternFill patternType="none">
          <bgColor auto="1"/>
        </patternFill>
      </fill>
    </dxf>
    <dxf>
      <font>
        <color rgb="FF92D050"/>
      </font>
    </dxf>
    <dxf>
      <font>
        <color rgb="FFFF0000"/>
      </font>
      <fill>
        <patternFill patternType="none">
          <bgColor auto="1"/>
        </patternFill>
      </fill>
    </dxf>
    <dxf>
      <font>
        <color rgb="FF92D050"/>
      </font>
    </dxf>
    <dxf>
      <font>
        <color rgb="FFFF0000"/>
      </font>
      <fill>
        <patternFill patternType="none">
          <bgColor auto="1"/>
        </patternFill>
      </fill>
    </dxf>
    <dxf>
      <font>
        <color rgb="FF92D050"/>
      </font>
    </dxf>
  </dxfs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ian Bell" id="{CF00B6AE-F8D6-4A0C-9607-B1E2F863EDA0}" userId="S::cianbell@tempo-sp.com::4d41dbef-0ea2-4630-8a50-7d0d84d1262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9" dT="2023-10-19T10:32:51.77" personId="{CF00B6AE-F8D6-4A0C-9607-B1E2F863EDA0}" id="{8C31E7AD-AF87-44E1-B60C-CF56C768BEAF}">
    <text>Needs to match the total for the compound figure in adjacent cell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6" Type="http://schemas.openxmlformats.org/officeDocument/2006/relationships/hyperlink" Target="https://tempo-sp.com/vault/files/Tempo_LKO_Brochure_June20_PART2-1.pdf" TargetMode="External"/><Relationship Id="rId21" Type="http://schemas.openxmlformats.org/officeDocument/2006/relationships/hyperlink" Target="https://tempo-sp.com/vault/files/Tempo_LKO_Brochure_Apr20.pdf" TargetMode="External"/><Relationship Id="rId42" Type="http://schemas.openxmlformats.org/officeDocument/2006/relationships/hyperlink" Target="https://tempo-sp.com/vault/files/Tempo_Issue-7_LKO1_Maturity-performance-and-comparison.pdf" TargetMode="External"/><Relationship Id="rId47" Type="http://schemas.openxmlformats.org/officeDocument/2006/relationships/hyperlink" Target="https://tempo-sp.com/vault/files/Tempo_Issue-11_LKO3_Maturity-performance-and-comparison.pdf" TargetMode="External"/><Relationship Id="rId63" Type="http://schemas.openxmlformats.org/officeDocument/2006/relationships/hyperlink" Target="https://tempo-sp.com/vault/files/Tempo_LKO_Opt2_IfThen_June2020.pdf" TargetMode="External"/><Relationship Id="rId68" Type="http://schemas.openxmlformats.org/officeDocument/2006/relationships/hyperlink" Target="https://tempo-sp.com/vault/files/Tempo_Bespoke_LKO_Opt2_Brochure_June20.pdf" TargetMode="External"/><Relationship Id="rId84" Type="http://schemas.openxmlformats.org/officeDocument/2006/relationships/hyperlink" Target="https://tempo-sp.com/vault/files/Tempo_LKO_Brochure_Sep20.pdf" TargetMode="External"/><Relationship Id="rId89" Type="http://schemas.openxmlformats.org/officeDocument/2006/relationships/hyperlink" Target="https://tempo-sp.com/vault/files/Tempo_Issue-15_LKO2_Maturity-performance-and-comparison.pdf" TargetMode="External"/><Relationship Id="rId16" Type="http://schemas.openxmlformats.org/officeDocument/2006/relationships/hyperlink" Target="https://tempo-sp.com/vault/files/Tempo_LKO_Brochure_Aug19.pdf" TargetMode="External"/><Relationship Id="rId107" Type="http://schemas.openxmlformats.org/officeDocument/2006/relationships/hyperlink" Target="https://tempo-sp.com/vault/files/Tempo_LKO_Brochure_Aug19.pdf" TargetMode="External"/><Relationship Id="rId11" Type="http://schemas.openxmlformats.org/officeDocument/2006/relationships/hyperlink" Target="https://tempo-sp.com/vault/files/Tempo_LKO_Brochure_Feb19.pdf" TargetMode="External"/><Relationship Id="rId32" Type="http://schemas.openxmlformats.org/officeDocument/2006/relationships/hyperlink" Target="https://tempo-sp.com/vault/files/Tempo_Issue-3_LKO1_Maturity-performance-and-comparison.pdf" TargetMode="External"/><Relationship Id="rId37" Type="http://schemas.openxmlformats.org/officeDocument/2006/relationships/hyperlink" Target="https://tempo-sp.com/vault/files/Tempo_Issue-4_LKO3_Maturity-performance-and-comparison.pdf" TargetMode="External"/><Relationship Id="rId53" Type="http://schemas.openxmlformats.org/officeDocument/2006/relationships/hyperlink" Target="https://tempo-sp.com/vault/files/Tempo_Issue-13_LKO3_Maturity-performance-and-comparison.pdf" TargetMode="External"/><Relationship Id="rId58" Type="http://schemas.openxmlformats.org/officeDocument/2006/relationships/hyperlink" Target="https://tempo-sp.com/vault/files/Tempo_LKO_IfThen_Opt3_Feb20.pdf" TargetMode="External"/><Relationship Id="rId74" Type="http://schemas.openxmlformats.org/officeDocument/2006/relationships/hyperlink" Target="https://tempo-sp.com/vault/files/Tempo_LKO_Brochure_July20.pdf" TargetMode="External"/><Relationship Id="rId79" Type="http://schemas.openxmlformats.org/officeDocument/2006/relationships/hyperlink" Target="https://tempo-sp.com/vault/files/Tempo_Issue-14_LKO1_Maturity-performance-and-comparison.pdf" TargetMode="External"/><Relationship Id="rId102" Type="http://schemas.openxmlformats.org/officeDocument/2006/relationships/hyperlink" Target="https://tempo-sp.com/vault/files/Tempo_LKO_Brochure_June19-1.pdf" TargetMode="External"/><Relationship Id="rId5" Type="http://schemas.openxmlformats.org/officeDocument/2006/relationships/hyperlink" Target="https://tempo-sp.com/vault/files/Tempo_LKO_Brochure_Oct18.pdf" TargetMode="External"/><Relationship Id="rId90" Type="http://schemas.openxmlformats.org/officeDocument/2006/relationships/hyperlink" Target="https://tempo-sp.com/vault/files/Tempo_Issue-15_LKO3_Maturity-performance-and-comparison.pdf" TargetMode="External"/><Relationship Id="rId95" Type="http://schemas.openxmlformats.org/officeDocument/2006/relationships/hyperlink" Target="https://tempo-sp.com/vault/files/Tempo_Issue-9_LKO1_Maturity-performance-and-comparison.pdf" TargetMode="External"/><Relationship Id="rId22" Type="http://schemas.openxmlformats.org/officeDocument/2006/relationships/hyperlink" Target="https://tempo-sp.com/vault/files/Tempo_LKO_Brochure_Apr20.pdf" TargetMode="External"/><Relationship Id="rId27" Type="http://schemas.openxmlformats.org/officeDocument/2006/relationships/hyperlink" Target="https://tempo-sp.com/vault/files/Tempo_LKO_Brochure_June20_PART2-1.pdf" TargetMode="External"/><Relationship Id="rId43" Type="http://schemas.openxmlformats.org/officeDocument/2006/relationships/hyperlink" Target="https://tempo-sp.com/vault/files/Tempo_Issue-8_LKO1_Maturity-performance-and-comparison.pdf" TargetMode="External"/><Relationship Id="rId48" Type="http://schemas.openxmlformats.org/officeDocument/2006/relationships/hyperlink" Target="https://tempo-sp.com/vault/files/Tempo_Issue-12_LKO1_Maturity-performance-and-comparison.pdf" TargetMode="External"/><Relationship Id="rId64" Type="http://schemas.openxmlformats.org/officeDocument/2006/relationships/hyperlink" Target="https://tempo-sp.com/vault/files/Tempo_LKO_Opt3_IfThen_June2020.pdf" TargetMode="External"/><Relationship Id="rId69" Type="http://schemas.openxmlformats.org/officeDocument/2006/relationships/hyperlink" Target="https://tempo-sp.com/vault/files/Tempo_Bespoke_LKO_Opt2_IfThen_June20.pdf" TargetMode="External"/><Relationship Id="rId80" Type="http://schemas.openxmlformats.org/officeDocument/2006/relationships/hyperlink" Target="https://tempo-sp.com/vault/files/Tempo_Issue-14_LKO2_Maturity-performance-and-comparison.pdf" TargetMode="External"/><Relationship Id="rId85" Type="http://schemas.openxmlformats.org/officeDocument/2006/relationships/hyperlink" Target="https://tempo-sp.com/vault/files/Tempo_LKO_Opt3_IfThen_Sep20.pdf" TargetMode="External"/><Relationship Id="rId12" Type="http://schemas.openxmlformats.org/officeDocument/2006/relationships/hyperlink" Target="https://tempo-sp.com/vault/files/Tempo_LKO_Brochure_Feb19.pdf" TargetMode="External"/><Relationship Id="rId17" Type="http://schemas.openxmlformats.org/officeDocument/2006/relationships/hyperlink" Target="https://tempo-sp.com/vault/files/Tempo_LKO_Brochure_Feb20-1.pdf" TargetMode="External"/><Relationship Id="rId33" Type="http://schemas.openxmlformats.org/officeDocument/2006/relationships/hyperlink" Target="https://tempo-sp.com/vault/files/Tempo_Issue-3_LKO2_Maturity-performance-and-comparison.pdf" TargetMode="External"/><Relationship Id="rId38" Type="http://schemas.openxmlformats.org/officeDocument/2006/relationships/hyperlink" Target="https://tempo-sp.com/vault/files/Tempo_Issue-5_LKO3_Maturity-performance-and-comparison.pdf" TargetMode="External"/><Relationship Id="rId59" Type="http://schemas.openxmlformats.org/officeDocument/2006/relationships/hyperlink" Target="https://tempo-sp.com/vault/files/Tempo_LKO_IfThen_Opt1_Apr20.pdf" TargetMode="External"/><Relationship Id="rId103" Type="http://schemas.openxmlformats.org/officeDocument/2006/relationships/hyperlink" Target="https://tempo-sp.com/vault/files/Tempo_Issue-07_LKO2_Maturity-performance-and-comparison.pdf" TargetMode="External"/><Relationship Id="rId108" Type="http://schemas.openxmlformats.org/officeDocument/2006/relationships/hyperlink" Target="https://tempo-sp.com/vault/files/Tempo_LKO_Opt1_IfThen_Dec19.pdf" TargetMode="External"/><Relationship Id="rId54" Type="http://schemas.openxmlformats.org/officeDocument/2006/relationships/hyperlink" Target="https://tempo-sp.com/vault/files/Tempo_Issue-13.2_LKO2_Maturity-performance-and-comparison.pdf" TargetMode="External"/><Relationship Id="rId70" Type="http://schemas.openxmlformats.org/officeDocument/2006/relationships/hyperlink" Target="https://tempo-sp.com/vault/files/Tempo_Issue-13_BLKO3_Maturity-performance-and-comparison.pdf" TargetMode="External"/><Relationship Id="rId75" Type="http://schemas.openxmlformats.org/officeDocument/2006/relationships/hyperlink" Target="https://tempo-sp.com/vault/files/Tempo_LKO_Brochure_July20.pdf" TargetMode="External"/><Relationship Id="rId91" Type="http://schemas.openxmlformats.org/officeDocument/2006/relationships/hyperlink" Target="https://tempo-sp.com/vault/files/Tempo_LKO_AppsPack_Full_Oct19.pdf" TargetMode="External"/><Relationship Id="rId96" Type="http://schemas.openxmlformats.org/officeDocument/2006/relationships/hyperlink" Target="https://tempo-sp.com/vault/files/Tempo_Issue-9.2_LKO1_Maturity-performance-and-comparison.pdf" TargetMode="External"/><Relationship Id="rId1" Type="http://schemas.openxmlformats.org/officeDocument/2006/relationships/hyperlink" Target="https://tempo-sp.com/vault/files/Tempo_LKO_SG_Brochure.pdf" TargetMode="External"/><Relationship Id="rId6" Type="http://schemas.openxmlformats.org/officeDocument/2006/relationships/hyperlink" Target="https://tempo-sp.com/vault/files/Tempo_LKO_Brochure_Oct18.pdf" TargetMode="External"/><Relationship Id="rId15" Type="http://schemas.openxmlformats.org/officeDocument/2006/relationships/hyperlink" Target="https://tempo-sp.com/vault/files/Tempo_LKO_Brochure_June19-1.pdf" TargetMode="External"/><Relationship Id="rId23" Type="http://schemas.openxmlformats.org/officeDocument/2006/relationships/hyperlink" Target="https://tempo-sp.com/vault/files/Tempo_LKO_Brochure_June20.pdf" TargetMode="External"/><Relationship Id="rId28" Type="http://schemas.openxmlformats.org/officeDocument/2006/relationships/hyperlink" Target="https://tempo-sp.com/vault/files/Tempo_Issue-1_LKO1_Maturity-performance-and-comparison.pdf" TargetMode="External"/><Relationship Id="rId36" Type="http://schemas.openxmlformats.org/officeDocument/2006/relationships/hyperlink" Target="https://tempo-sp.com/vault/files/Tempo_Issue-4_LKO2_Maturity-performance-and-comparison-1.pdf" TargetMode="External"/><Relationship Id="rId49" Type="http://schemas.openxmlformats.org/officeDocument/2006/relationships/hyperlink" Target="https://tempo-sp.com/vault/files/Tempo_Issue-12_LKO2_Maturity-performance-and-comparison.pdf" TargetMode="External"/><Relationship Id="rId57" Type="http://schemas.openxmlformats.org/officeDocument/2006/relationships/hyperlink" Target="https://tempo-sp.com/vault/files/Tempo_LKO_IfThen_Opt2_Feb20.pdf" TargetMode="External"/><Relationship Id="rId106" Type="http://schemas.openxmlformats.org/officeDocument/2006/relationships/hyperlink" Target="https://tempo-sp.com/vault/files/Tempo_Issue-07_LKO2_Maturity-performance-and-comparison.pdf" TargetMode="External"/><Relationship Id="rId10" Type="http://schemas.openxmlformats.org/officeDocument/2006/relationships/hyperlink" Target="https://tempo-sp.com/vault/files/Tempo_LKO_Brochure_Dec2018.pdf" TargetMode="External"/><Relationship Id="rId31" Type="http://schemas.openxmlformats.org/officeDocument/2006/relationships/hyperlink" Target="https://tempo-sp.com/vault/files/Tempo_Issue-3_LKO3_Maturity-performance-and-comparison.pdf" TargetMode="External"/><Relationship Id="rId44" Type="http://schemas.openxmlformats.org/officeDocument/2006/relationships/hyperlink" Target="https://tempo-sp.com/vault/files/Tempo_LKO_Opt1_IfThen_aug19.pdf" TargetMode="External"/><Relationship Id="rId52" Type="http://schemas.openxmlformats.org/officeDocument/2006/relationships/hyperlink" Target="https://tempo-sp.com/vault/files/Tempo_Issue-13_LKO2_Maturity-performance-and-comparison.pdf" TargetMode="External"/><Relationship Id="rId60" Type="http://schemas.openxmlformats.org/officeDocument/2006/relationships/hyperlink" Target="https://tempo-sp.com/vault/files/Tempo_LKO_IfThen_Opt2_Apr20.pdf" TargetMode="External"/><Relationship Id="rId65" Type="http://schemas.openxmlformats.org/officeDocument/2006/relationships/hyperlink" Target="https://tempo-sp.com/vault/files/Tempo_LKO_Opt2_IfThen_June20_PART2.pdf" TargetMode="External"/><Relationship Id="rId73" Type="http://schemas.openxmlformats.org/officeDocument/2006/relationships/hyperlink" Target="https://tempo-sp.com/vault/files/Tempo_LKO_Brochure_July20.pdf" TargetMode="External"/><Relationship Id="rId78" Type="http://schemas.openxmlformats.org/officeDocument/2006/relationships/hyperlink" Target="https://tempo-sp.com/vault/files/Tempo_LKO_Opt3_IfThen_July20.pdf" TargetMode="External"/><Relationship Id="rId81" Type="http://schemas.openxmlformats.org/officeDocument/2006/relationships/hyperlink" Target="https://tempo-sp.com/vault/files/Tempo_Issue-14_LKO3_Maturity-performance-and-comparison.pdf" TargetMode="External"/><Relationship Id="rId86" Type="http://schemas.openxmlformats.org/officeDocument/2006/relationships/hyperlink" Target="https://tempo-sp.com/vault/files/Tempo_LKO_Opt2_IfThen_Sep20.pdf" TargetMode="External"/><Relationship Id="rId94" Type="http://schemas.openxmlformats.org/officeDocument/2006/relationships/hyperlink" Target="https://tempo-sp.com/vault/files/Tempo_LKO_Opt1_IfThen_Oct19_Part2.pdf" TargetMode="External"/><Relationship Id="rId99" Type="http://schemas.openxmlformats.org/officeDocument/2006/relationships/hyperlink" Target="https://tempo-sp.com/vault/files/Tempo_LKO_Opt1_IfThen_Dec19.pdf" TargetMode="External"/><Relationship Id="rId101" Type="http://schemas.openxmlformats.org/officeDocument/2006/relationships/hyperlink" Target="https://tempo-sp.com/vault/files/Tempo_Issue-06_LKO2_Maturity-performance-and-comparison.pdf" TargetMode="External"/><Relationship Id="rId4" Type="http://schemas.openxmlformats.org/officeDocument/2006/relationships/hyperlink" Target="https://tempo-sp.com/vault/files/Tempo_SG_LKO_Aug18_Brochure_FINAL.pdf" TargetMode="External"/><Relationship Id="rId9" Type="http://schemas.openxmlformats.org/officeDocument/2006/relationships/hyperlink" Target="https://tempo-sp.com/vault/files/Tempo_LKO_Brochure_Dec2018.pdf" TargetMode="External"/><Relationship Id="rId13" Type="http://schemas.openxmlformats.org/officeDocument/2006/relationships/hyperlink" Target="https://tempo-sp.com/vault/files/Tempo_LKO_Brochure_Feb19.pdf" TargetMode="External"/><Relationship Id="rId18" Type="http://schemas.openxmlformats.org/officeDocument/2006/relationships/hyperlink" Target="https://tempo-sp.com/vault/files/Tempo_LKO_Brochure_Feb20-1.pdf" TargetMode="External"/><Relationship Id="rId39" Type="http://schemas.openxmlformats.org/officeDocument/2006/relationships/hyperlink" Target="https://tempo-sp.com/vault/files/Tempo_Issue-5_LKO2_Maturity-performance-and-comparison.pdf" TargetMode="External"/><Relationship Id="rId109" Type="http://schemas.openxmlformats.org/officeDocument/2006/relationships/hyperlink" Target="https://tempo-sp.com/vault/files/Tempo_LKO_Opt2_IfThen_Aug19.pdf" TargetMode="External"/><Relationship Id="rId34" Type="http://schemas.openxmlformats.org/officeDocument/2006/relationships/hyperlink" Target="https://tempo-sp.com/vault/files/Tempo_Issue-3_LKO3_Maturity-performance-and-comparison.pdf" TargetMode="External"/><Relationship Id="rId50" Type="http://schemas.openxmlformats.org/officeDocument/2006/relationships/hyperlink" Target="https://tempo-sp.com/vault/files/Tempo_Issue-12_LKO3_Maturity-performance-and-comparison.pdf" TargetMode="External"/><Relationship Id="rId55" Type="http://schemas.openxmlformats.org/officeDocument/2006/relationships/hyperlink" Target="https://tempo-sp.com/vault/files/Tempo_Issue-13.2_LKO3_Maturity-performance-and-comparison.pdf" TargetMode="External"/><Relationship Id="rId76" Type="http://schemas.openxmlformats.org/officeDocument/2006/relationships/hyperlink" Target="https://tempo-sp.com/vault/files/Tempo_LKO_Opt1_IfThen_July20.pdf" TargetMode="External"/><Relationship Id="rId97" Type="http://schemas.openxmlformats.org/officeDocument/2006/relationships/hyperlink" Target="https://tempo-sp.com/vault/files/Tempo_Issue-10_LKO1_Maturity-performance-and-comparison.pdf" TargetMode="External"/><Relationship Id="rId104" Type="http://schemas.openxmlformats.org/officeDocument/2006/relationships/hyperlink" Target="https://tempo-sp.com/vault/files/Tempo_LKO_Brochure_Aug19.pdf" TargetMode="External"/><Relationship Id="rId7" Type="http://schemas.openxmlformats.org/officeDocument/2006/relationships/hyperlink" Target="https://tempo-sp.com/vault/files/Tempo_LKO_Brochure_Oct18.pdf" TargetMode="External"/><Relationship Id="rId71" Type="http://schemas.openxmlformats.org/officeDocument/2006/relationships/hyperlink" Target="https://tempo-sp.com/vault/files/Tempo_Bespoke_LKO_Opt3_Brochure_June20.pdf" TargetMode="External"/><Relationship Id="rId92" Type="http://schemas.openxmlformats.org/officeDocument/2006/relationships/hyperlink" Target="https://tempo-sp.com/vault/files/Tempo_LKO_Brochure_Oct19_Part2-3.pdf" TargetMode="External"/><Relationship Id="rId2" Type="http://schemas.openxmlformats.org/officeDocument/2006/relationships/hyperlink" Target="https://tempo-sp.com/vault/files/Tempo_SG_LKO_Aug18_Brochure_FINAL.pdf" TargetMode="External"/><Relationship Id="rId29" Type="http://schemas.openxmlformats.org/officeDocument/2006/relationships/hyperlink" Target="https://tempo-sp.com/vault/files/Tempo_Issue-2_LKO1_Maturity-performance-and-comparison.pdf" TargetMode="External"/><Relationship Id="rId24" Type="http://schemas.openxmlformats.org/officeDocument/2006/relationships/hyperlink" Target="https://tempo-sp.com/vault/files/Tempo_LKO_Brochure_June20.pdf" TargetMode="External"/><Relationship Id="rId40" Type="http://schemas.openxmlformats.org/officeDocument/2006/relationships/hyperlink" Target="https://tempo-sp.com/vault/files/Tempo_Issue-5_LKO1_Maturity-performance-and-comparison.pdf" TargetMode="External"/><Relationship Id="rId45" Type="http://schemas.openxmlformats.org/officeDocument/2006/relationships/hyperlink" Target="https://tempo-sp.com/vault/files/Tempo_Issue-11_LKO1_Maturity-performance-and-comparison.pdf" TargetMode="External"/><Relationship Id="rId66" Type="http://schemas.openxmlformats.org/officeDocument/2006/relationships/hyperlink" Target="https://tempo-sp.com/vault/files/Tempo_LKO_Opt3_IfThen_June20_Part2.pdf" TargetMode="External"/><Relationship Id="rId87" Type="http://schemas.openxmlformats.org/officeDocument/2006/relationships/hyperlink" Target="https://tempo-sp.com/vault/files/Tempo_LKO_Opt1_IfThen_Sep20.pdf" TargetMode="External"/><Relationship Id="rId110" Type="http://schemas.openxmlformats.org/officeDocument/2006/relationships/hyperlink" Target="https://tempo-sp.com/vault/files/Tempo_LKO_Opt3_IfThen_Aug19.pdf" TargetMode="External"/><Relationship Id="rId61" Type="http://schemas.openxmlformats.org/officeDocument/2006/relationships/hyperlink" Target="https://tempo-sp.com/vault/files/Tempo_LKO_IfThen_Opt3_Apr20.pdf" TargetMode="External"/><Relationship Id="rId82" Type="http://schemas.openxmlformats.org/officeDocument/2006/relationships/hyperlink" Target="https://tempo-sp.com/vault/files/Tempo_LKO_Brochure_Sep20.pdf" TargetMode="External"/><Relationship Id="rId19" Type="http://schemas.openxmlformats.org/officeDocument/2006/relationships/hyperlink" Target="https://tempo-sp.com/vault/files/Tempo_LKO_Brochure_Feb20-1.pdf" TargetMode="External"/><Relationship Id="rId14" Type="http://schemas.openxmlformats.org/officeDocument/2006/relationships/hyperlink" Target="https://tempo-sp.com/vault/files/Tempo_LKO_Brochure_Apr19-1.pdf" TargetMode="External"/><Relationship Id="rId30" Type="http://schemas.openxmlformats.org/officeDocument/2006/relationships/hyperlink" Target="https://tempo-sp.com/vault/files/Tempo_Issue-2_LKO2_Maturity-performance-and-comparison.pdf" TargetMode="External"/><Relationship Id="rId35" Type="http://schemas.openxmlformats.org/officeDocument/2006/relationships/hyperlink" Target="https://tempo-sp.com/vault/files/Tempo_Issue-4_LKO1_Maturity-performance-and-comparison.pdf" TargetMode="External"/><Relationship Id="rId56" Type="http://schemas.openxmlformats.org/officeDocument/2006/relationships/hyperlink" Target="https://tempo-sp.com/vault/files/Tempo_LKO_IfThen_Opt1_Feb20.pdf" TargetMode="External"/><Relationship Id="rId77" Type="http://schemas.openxmlformats.org/officeDocument/2006/relationships/hyperlink" Target="https://tempo-sp.com/vault/files/Tempo_LKO_Opt2_IfThen_July20.pdf" TargetMode="External"/><Relationship Id="rId100" Type="http://schemas.openxmlformats.org/officeDocument/2006/relationships/hyperlink" Target="https://tempo-sp.com/vault/files/Tempo_LKO_Brochure_Apr19-1.pdf" TargetMode="External"/><Relationship Id="rId105" Type="http://schemas.openxmlformats.org/officeDocument/2006/relationships/hyperlink" Target="https://tempo-sp.com/vault/files/Tempo_Issue-07_LKO2_Maturity-performance-and-comparison.pdf" TargetMode="External"/><Relationship Id="rId8" Type="http://schemas.openxmlformats.org/officeDocument/2006/relationships/hyperlink" Target="https://tempo-sp.com/vault/files/Tempo_LKO_Brochure_Dec2018.pdf" TargetMode="External"/><Relationship Id="rId51" Type="http://schemas.openxmlformats.org/officeDocument/2006/relationships/hyperlink" Target="https://tempo-sp.com/vault/files/Tempo_Issue-13_LKO1_Maturity-performance-and-comparison.pdf" TargetMode="External"/><Relationship Id="rId72" Type="http://schemas.openxmlformats.org/officeDocument/2006/relationships/hyperlink" Target="https://tempo-sp.com/vault/files/Tempo_Bespoke_LKO_Opt3_Ifthen_June20.pdf" TargetMode="External"/><Relationship Id="rId93" Type="http://schemas.openxmlformats.org/officeDocument/2006/relationships/hyperlink" Target="https://tempo-sp.com/vault/files/Tempo_LKO_IfThen_Opt1_Oct19.pdf" TargetMode="External"/><Relationship Id="rId98" Type="http://schemas.openxmlformats.org/officeDocument/2006/relationships/hyperlink" Target="https://tempo-sp.com/vault/files/Tempo_LKO_Brochure_Dec19.pdf" TargetMode="External"/><Relationship Id="rId3" Type="http://schemas.openxmlformats.org/officeDocument/2006/relationships/hyperlink" Target="https://tempo-sp.com/vault/files/Tempo_SG_LKO_Aug18_Brochure_FINAL.pdf" TargetMode="External"/><Relationship Id="rId25" Type="http://schemas.openxmlformats.org/officeDocument/2006/relationships/hyperlink" Target="https://tempo-sp.com/vault/files/Tempo_LKO_Brochure_June20.pdf" TargetMode="External"/><Relationship Id="rId46" Type="http://schemas.openxmlformats.org/officeDocument/2006/relationships/hyperlink" Target="https://tempo-sp.com/vault/files/Tempo_Issue-11_LKO2_Maturity-performance-and-comparison.pdf" TargetMode="External"/><Relationship Id="rId67" Type="http://schemas.openxmlformats.org/officeDocument/2006/relationships/hyperlink" Target="https://tempo-sp.com/vault/files/Tempo_BLKO2_Maturity-performance-and-comparison.pdf" TargetMode="External"/><Relationship Id="rId20" Type="http://schemas.openxmlformats.org/officeDocument/2006/relationships/hyperlink" Target="https://tempo-sp.com/vault/files/Tempo_LKO_Brochure_Apr20.pdf" TargetMode="External"/><Relationship Id="rId41" Type="http://schemas.openxmlformats.org/officeDocument/2006/relationships/hyperlink" Target="https://tempo-sp.com/vault/files/Tempo_Issue-6_LKO1_Maturity-performance-and-comparison.pdf" TargetMode="External"/><Relationship Id="rId62" Type="http://schemas.openxmlformats.org/officeDocument/2006/relationships/hyperlink" Target="https://tempo-sp.com/vault/files/Tempo_LKO_Opt1_IfThen_June2020.pdf" TargetMode="External"/><Relationship Id="rId83" Type="http://schemas.openxmlformats.org/officeDocument/2006/relationships/hyperlink" Target="https://tempo-sp.com/vault/files/Tempo_LKO_Brochure_Sep20.pdf" TargetMode="External"/><Relationship Id="rId88" Type="http://schemas.openxmlformats.org/officeDocument/2006/relationships/hyperlink" Target="https://tempo-sp.com/vault/files/Tempo_Issue-15_LKO1_Maturity-performance-and-comparison.pdf" TargetMode="External"/><Relationship Id="rId11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tempo-sp.com/vault/files/Tempo_Issue-12_LKO3_Maturity-performance-and-comparison.pdf" TargetMode="External"/><Relationship Id="rId18" Type="http://schemas.openxmlformats.org/officeDocument/2006/relationships/hyperlink" Target="https://tempo-sp.com/vault/files/Tempo_LKO_Brochure_June20_PART2-1.pdf" TargetMode="External"/><Relationship Id="rId26" Type="http://schemas.openxmlformats.org/officeDocument/2006/relationships/hyperlink" Target="https://tempo-sp.com/vault/files/Tempo_Issue-14_LKO3_Maturity-performance-and-comparison.pdf" TargetMode="External"/><Relationship Id="rId3" Type="http://schemas.openxmlformats.org/officeDocument/2006/relationships/hyperlink" Target="https://tempo-sp.com/vault/files/Tempo_LKO_Brochure_Oct18.pdf" TargetMode="External"/><Relationship Id="rId21" Type="http://schemas.openxmlformats.org/officeDocument/2006/relationships/hyperlink" Target="https://tempo-sp.com/vault/files/Tempo_Issue-13_BLKO3_Maturity-performance-and-comparison.pdf" TargetMode="External"/><Relationship Id="rId7" Type="http://schemas.openxmlformats.org/officeDocument/2006/relationships/hyperlink" Target="https://tempo-sp.com/vault/files/Tempo_LKO_Brochure_Feb19.pdf" TargetMode="External"/><Relationship Id="rId12" Type="http://schemas.openxmlformats.org/officeDocument/2006/relationships/hyperlink" Target="https://tempo-sp.com/vault/files/Tempo_LKO_Brochure_Apr20.pdf" TargetMode="External"/><Relationship Id="rId17" Type="http://schemas.openxmlformats.org/officeDocument/2006/relationships/hyperlink" Target="https://tempo-sp.com/vault/files/Tempo_LKO_Opt3_IfThen_June2020.pdf" TargetMode="External"/><Relationship Id="rId25" Type="http://schemas.openxmlformats.org/officeDocument/2006/relationships/hyperlink" Target="https://tempo-sp.com/vault/files/Tempo_LKO_Opt3_IfThen_July20.pdf" TargetMode="External"/><Relationship Id="rId33" Type="http://schemas.openxmlformats.org/officeDocument/2006/relationships/printerSettings" Target="../printerSettings/printerSettings5.bin"/><Relationship Id="rId2" Type="http://schemas.openxmlformats.org/officeDocument/2006/relationships/hyperlink" Target="https://tempo-sp.com/vault/files/Tempo_Issue-3_LKO3_Maturity-performance-and-comparison.pdf" TargetMode="External"/><Relationship Id="rId16" Type="http://schemas.openxmlformats.org/officeDocument/2006/relationships/hyperlink" Target="https://tempo-sp.com/vault/files/Tempo_Issue-13_LKO3_Maturity-performance-and-comparison.pdf" TargetMode="External"/><Relationship Id="rId20" Type="http://schemas.openxmlformats.org/officeDocument/2006/relationships/hyperlink" Target="https://tempo-sp.com/vault/files/Tempo_LKO_Opt3_IfThen_June20_Part2.pdf" TargetMode="External"/><Relationship Id="rId29" Type="http://schemas.openxmlformats.org/officeDocument/2006/relationships/hyperlink" Target="https://tempo-sp.com/vault/files/Tempo_Issue-15_LKO3_Maturity-performance-and-comparison.pdf" TargetMode="External"/><Relationship Id="rId1" Type="http://schemas.openxmlformats.org/officeDocument/2006/relationships/hyperlink" Target="https://tempo-sp.com/vault/files/Tempo_SG_LKO_Aug18_Brochure_FINAL.pdf" TargetMode="External"/><Relationship Id="rId6" Type="http://schemas.openxmlformats.org/officeDocument/2006/relationships/hyperlink" Target="https://tempo-sp.com/vault/files/Tempo_Issue-4_LKO3_Maturity-performance-and-comparison.pdf" TargetMode="External"/><Relationship Id="rId11" Type="http://schemas.openxmlformats.org/officeDocument/2006/relationships/hyperlink" Target="https://tempo-sp.com/vault/files/Tempo_LKO_IfThen_Opt3_Feb20.pdf" TargetMode="External"/><Relationship Id="rId24" Type="http://schemas.openxmlformats.org/officeDocument/2006/relationships/hyperlink" Target="https://tempo-sp.com/vault/files/Tempo_LKO_Brochure_July20.pdf" TargetMode="External"/><Relationship Id="rId32" Type="http://schemas.openxmlformats.org/officeDocument/2006/relationships/hyperlink" Target="https://tempo-sp.com/vault/files/Tempo_LKO_Opt3_IfThen_Aug19.pdf" TargetMode="External"/><Relationship Id="rId5" Type="http://schemas.openxmlformats.org/officeDocument/2006/relationships/hyperlink" Target="https://tempo-sp.com/vault/files/Tempo_LKO_Brochure_Dec2018.pdf" TargetMode="External"/><Relationship Id="rId15" Type="http://schemas.openxmlformats.org/officeDocument/2006/relationships/hyperlink" Target="https://tempo-sp.com/vault/files/Tempo_LKO_Brochure_June20.pdf" TargetMode="External"/><Relationship Id="rId23" Type="http://schemas.openxmlformats.org/officeDocument/2006/relationships/hyperlink" Target="https://tempo-sp.com/vault/files/Tempo_Bespoke_LKO_Opt3_Ifthen_June20.pdf" TargetMode="External"/><Relationship Id="rId28" Type="http://schemas.openxmlformats.org/officeDocument/2006/relationships/hyperlink" Target="https://tempo-sp.com/vault/files/Tempo_LKO_Opt3_IfThen_Sep20.pdf" TargetMode="External"/><Relationship Id="rId10" Type="http://schemas.openxmlformats.org/officeDocument/2006/relationships/hyperlink" Target="https://tempo-sp.com/vault/files/Tempo_Issue-11_LKO3_Maturity-performance-and-comparison.pdf" TargetMode="External"/><Relationship Id="rId19" Type="http://schemas.openxmlformats.org/officeDocument/2006/relationships/hyperlink" Target="https://tempo-sp.com/vault/files/Tempo_Issue-13.2_LKO3_Maturity-performance-and-comparison.pdf" TargetMode="External"/><Relationship Id="rId31" Type="http://schemas.openxmlformats.org/officeDocument/2006/relationships/hyperlink" Target="https://tempo-sp.com/vault/files/Tempo_LKO_Brochure_Aug19.pdf" TargetMode="External"/><Relationship Id="rId4" Type="http://schemas.openxmlformats.org/officeDocument/2006/relationships/hyperlink" Target="https://tempo-sp.com/vault/files/Tempo_Issue-3_LKO3_Maturity-performance-and-comparison.pdf" TargetMode="External"/><Relationship Id="rId9" Type="http://schemas.openxmlformats.org/officeDocument/2006/relationships/hyperlink" Target="https://tempo-sp.com/vault/files/Tempo_LKO_Brochure_Feb20-1.pdf" TargetMode="External"/><Relationship Id="rId14" Type="http://schemas.openxmlformats.org/officeDocument/2006/relationships/hyperlink" Target="https://tempo-sp.com/vault/files/Tempo_LKO_IfThen_Opt3_Apr20.pdf" TargetMode="External"/><Relationship Id="rId22" Type="http://schemas.openxmlformats.org/officeDocument/2006/relationships/hyperlink" Target="https://tempo-sp.com/vault/files/Tempo_Bespoke_LKO_Opt3_Brochure_June20.pdf" TargetMode="External"/><Relationship Id="rId27" Type="http://schemas.openxmlformats.org/officeDocument/2006/relationships/hyperlink" Target="https://tempo-sp.com/vault/files/Tempo_LKO_Brochure_Sep20.pdf" TargetMode="External"/><Relationship Id="rId30" Type="http://schemas.openxmlformats.org/officeDocument/2006/relationships/hyperlink" Target="https://tempo-sp.com/vault/files/Tempo_Issue-07_LKO2_Maturity-performance-and-comparison.pdf" TargetMode="External"/><Relationship Id="rId8" Type="http://schemas.openxmlformats.org/officeDocument/2006/relationships/hyperlink" Target="https://tempo-sp.com/vault/files/Tempo_Issue-5_LKO3_Maturity-performance-and-comparison.pdf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tempo-sp.com/vault/files/Tempo_LKO_Brochure_Aug19.pdf" TargetMode="External"/><Relationship Id="rId18" Type="http://schemas.openxmlformats.org/officeDocument/2006/relationships/hyperlink" Target="https://tempo-sp.com/vault/files/Tempo_LKO_Opt1_IfThen_aug19.pdf" TargetMode="External"/><Relationship Id="rId26" Type="http://schemas.openxmlformats.org/officeDocument/2006/relationships/hyperlink" Target="https://tempo-sp.com/vault/files/Tempo_LKO_IfThen_Opt1_Oct19.pdf" TargetMode="External"/><Relationship Id="rId3" Type="http://schemas.openxmlformats.org/officeDocument/2006/relationships/hyperlink" Target="https://tempo-sp.com/vault/files/Tempo_Issue-1_LKO1_Maturity-performance-and-comparison.pdf" TargetMode="External"/><Relationship Id="rId21" Type="http://schemas.openxmlformats.org/officeDocument/2006/relationships/hyperlink" Target="https://tempo-sp.com/vault/files/Tempo_LKO_Brochure_Apr20.pdf" TargetMode="External"/><Relationship Id="rId7" Type="http://schemas.openxmlformats.org/officeDocument/2006/relationships/hyperlink" Target="https://tempo-sp.com/vault/files/Tempo_LKO_Brochure_Dec2018.pdf" TargetMode="External"/><Relationship Id="rId12" Type="http://schemas.openxmlformats.org/officeDocument/2006/relationships/hyperlink" Target="https://tempo-sp.com/vault/files/Tempo_LKO_Brochure_June19-1.pdf" TargetMode="External"/><Relationship Id="rId17" Type="http://schemas.openxmlformats.org/officeDocument/2006/relationships/hyperlink" Target="https://tempo-sp.com/vault/files/Tempo_Issue-8_LKO1_Maturity-performance-and-comparison.pdf" TargetMode="External"/><Relationship Id="rId25" Type="http://schemas.openxmlformats.org/officeDocument/2006/relationships/hyperlink" Target="https://tempo-sp.com/vault/files/Tempo_LKO_Brochure_Oct19_Part2-3.pdf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https://tempo-sp.com/vault/files/Tempo_SG_LKO_Aug18_Brochure_FINAL.pdf" TargetMode="External"/><Relationship Id="rId16" Type="http://schemas.openxmlformats.org/officeDocument/2006/relationships/hyperlink" Target="https://tempo-sp.com/vault/files/Tempo_Issue-7_LKO1_Maturity-performance-and-comparison.pdf" TargetMode="External"/><Relationship Id="rId20" Type="http://schemas.openxmlformats.org/officeDocument/2006/relationships/hyperlink" Target="https://tempo-sp.com/vault/files/Tempo_LKO_IfThen_Opt1_Feb20.pdf" TargetMode="External"/><Relationship Id="rId29" Type="http://schemas.openxmlformats.org/officeDocument/2006/relationships/hyperlink" Target="https://tempo-sp.com/vault/files/Tempo_Issue-9.2_LKO1_Maturity-performance-and-comparison.pdf" TargetMode="External"/><Relationship Id="rId1" Type="http://schemas.openxmlformats.org/officeDocument/2006/relationships/hyperlink" Target="https://tempo-sp.com/vault/files/Tempo_LKO_SG_Brochure.pdf" TargetMode="External"/><Relationship Id="rId6" Type="http://schemas.openxmlformats.org/officeDocument/2006/relationships/hyperlink" Target="https://tempo-sp.com/vault/files/Tempo_Issue-3_LKO1_Maturity-performance-and-comparison.pdf" TargetMode="External"/><Relationship Id="rId11" Type="http://schemas.openxmlformats.org/officeDocument/2006/relationships/hyperlink" Target="https://tempo-sp.com/vault/files/Tempo_LKO_Brochure_Apr19-1.pdf" TargetMode="External"/><Relationship Id="rId24" Type="http://schemas.openxmlformats.org/officeDocument/2006/relationships/hyperlink" Target="https://tempo-sp.com/vault/files/Tempo_LKO_AppsPack_Full_Oct19.pdf" TargetMode="External"/><Relationship Id="rId32" Type="http://schemas.openxmlformats.org/officeDocument/2006/relationships/hyperlink" Target="https://tempo-sp.com/vault/files/Tempo_LKO_Opt1_IfThen_Dec19.pdf" TargetMode="External"/><Relationship Id="rId5" Type="http://schemas.openxmlformats.org/officeDocument/2006/relationships/hyperlink" Target="https://tempo-sp.com/vault/files/Tempo_LKO_Brochure_Oct18.pdf" TargetMode="External"/><Relationship Id="rId15" Type="http://schemas.openxmlformats.org/officeDocument/2006/relationships/hyperlink" Target="https://tempo-sp.com/vault/files/Tempo_Issue-6_LKO1_Maturity-performance-and-comparison.pdf" TargetMode="External"/><Relationship Id="rId23" Type="http://schemas.openxmlformats.org/officeDocument/2006/relationships/hyperlink" Target="https://tempo-sp.com/vault/files/Tempo_LKO_IfThen_Opt2_Apr20.pdf" TargetMode="External"/><Relationship Id="rId28" Type="http://schemas.openxmlformats.org/officeDocument/2006/relationships/hyperlink" Target="https://tempo-sp.com/vault/files/Tempo_Issue-9_LKO1_Maturity-performance-and-comparison.pdf" TargetMode="External"/><Relationship Id="rId10" Type="http://schemas.openxmlformats.org/officeDocument/2006/relationships/hyperlink" Target="https://tempo-sp.com/vault/files/Tempo_Issue-5_LKO1_Maturity-performance-and-comparison.pdf" TargetMode="External"/><Relationship Id="rId19" Type="http://schemas.openxmlformats.org/officeDocument/2006/relationships/hyperlink" Target="https://tempo-sp.com/vault/files/Tempo_Issue-11_LKO1_Maturity-performance-and-comparison.pdf" TargetMode="External"/><Relationship Id="rId31" Type="http://schemas.openxmlformats.org/officeDocument/2006/relationships/hyperlink" Target="https://tempo-sp.com/vault/files/Tempo_LKO_Brochure_Dec19.pdf" TargetMode="External"/><Relationship Id="rId4" Type="http://schemas.openxmlformats.org/officeDocument/2006/relationships/hyperlink" Target="https://tempo-sp.com/vault/files/Tempo_Issue-2_LKO1_Maturity-performance-and-comparison.pdf" TargetMode="External"/><Relationship Id="rId9" Type="http://schemas.openxmlformats.org/officeDocument/2006/relationships/hyperlink" Target="https://tempo-sp.com/vault/files/Tempo_LKO_Brochure_Feb19.pdf" TargetMode="External"/><Relationship Id="rId14" Type="http://schemas.openxmlformats.org/officeDocument/2006/relationships/hyperlink" Target="https://tempo-sp.com/vault/files/Tempo_LKO_Brochure_Feb20-1.pdf" TargetMode="External"/><Relationship Id="rId22" Type="http://schemas.openxmlformats.org/officeDocument/2006/relationships/hyperlink" Target="https://tempo-sp.com/vault/files/Tempo_Issue-12_LKO2_Maturity-performance-and-comparison.pdf" TargetMode="External"/><Relationship Id="rId27" Type="http://schemas.openxmlformats.org/officeDocument/2006/relationships/hyperlink" Target="https://tempo-sp.com/vault/files/Tempo_LKO_Opt1_IfThen_Oct19_Part2.pdf" TargetMode="External"/><Relationship Id="rId30" Type="http://schemas.openxmlformats.org/officeDocument/2006/relationships/hyperlink" Target="https://tempo-sp.com/vault/files/Tempo_Issue-10_LKO1_Maturity-performance-and-comparison.pdf" TargetMode="External"/><Relationship Id="rId8" Type="http://schemas.openxmlformats.org/officeDocument/2006/relationships/hyperlink" Target="https://tempo-sp.com/vault/files/Tempo_Issue-4_LKO1_Maturity-performance-and-comparison.pdf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Relationship Id="rId4" Type="http://schemas.microsoft.com/office/2017/10/relationships/threadedComment" Target="../threadedComments/threadedComment1.xml"/></Relationships>
</file>

<file path=xl/worksheets/_rels/sheet9.xml.rels><?xml version="1.0" encoding="UTF-8" standalone="yes"?>
<Relationships xmlns="http://schemas.openxmlformats.org/package/2006/relationships"><Relationship Id="rId13" Type="http://schemas.openxmlformats.org/officeDocument/2006/relationships/hyperlink" Target="https://tempo-sp.com/vault/files/Tempo_Issue-12_LKO1_Maturity-performance-and-comparison.pdf" TargetMode="External"/><Relationship Id="rId18" Type="http://schemas.openxmlformats.org/officeDocument/2006/relationships/hyperlink" Target="https://tempo-sp.com/vault/files/Tempo_Issue-13_LKO2_Maturity-performance-and-comparison.pdf" TargetMode="External"/><Relationship Id="rId26" Type="http://schemas.openxmlformats.org/officeDocument/2006/relationships/hyperlink" Target="https://tempo-sp.com/vault/files/Tempo_Bespoke_LKO_Opt2_IfThen_June20.pdf" TargetMode="External"/><Relationship Id="rId39" Type="http://schemas.openxmlformats.org/officeDocument/2006/relationships/hyperlink" Target="https://tempo-sp.com/vault/files/Tempo_LKO_Brochure_Apr19-1.pdf" TargetMode="External"/><Relationship Id="rId21" Type="http://schemas.openxmlformats.org/officeDocument/2006/relationships/hyperlink" Target="https://tempo-sp.com/vault/files/Tempo_LKO_Brochure_June20_PART2-1.pdf" TargetMode="External"/><Relationship Id="rId34" Type="http://schemas.openxmlformats.org/officeDocument/2006/relationships/hyperlink" Target="https://tempo-sp.com/vault/files/Tempo_LKO_Brochure_Sep20.pdf" TargetMode="External"/><Relationship Id="rId42" Type="http://schemas.openxmlformats.org/officeDocument/2006/relationships/hyperlink" Target="https://tempo-sp.com/vault/files/Tempo_Issue-07_LKO2_Maturity-performance-and-comparison.pdf" TargetMode="External"/><Relationship Id="rId7" Type="http://schemas.openxmlformats.org/officeDocument/2006/relationships/hyperlink" Target="https://tempo-sp.com/vault/files/Tempo_LKO_Brochure_Feb19.pdf" TargetMode="External"/><Relationship Id="rId2" Type="http://schemas.openxmlformats.org/officeDocument/2006/relationships/hyperlink" Target="https://tempo-sp.com/vault/files/Tempo_Issue-2_LKO2_Maturity-performance-and-comparison.pdf" TargetMode="External"/><Relationship Id="rId16" Type="http://schemas.openxmlformats.org/officeDocument/2006/relationships/hyperlink" Target="https://tempo-sp.com/vault/files/Tempo_LKO_Brochure_June20.pdf" TargetMode="External"/><Relationship Id="rId29" Type="http://schemas.openxmlformats.org/officeDocument/2006/relationships/hyperlink" Target="https://tempo-sp.com/vault/files/Tempo_LKO_Opt1_IfThen_July20.pdf" TargetMode="External"/><Relationship Id="rId1" Type="http://schemas.openxmlformats.org/officeDocument/2006/relationships/hyperlink" Target="https://tempo-sp.com/vault/files/Tempo_SG_LKO_Aug18_Brochure_FINAL.pdf" TargetMode="External"/><Relationship Id="rId6" Type="http://schemas.openxmlformats.org/officeDocument/2006/relationships/hyperlink" Target="https://tempo-sp.com/vault/files/Tempo_Issue-4_LKO2_Maturity-performance-and-comparison-1.pdf" TargetMode="External"/><Relationship Id="rId11" Type="http://schemas.openxmlformats.org/officeDocument/2006/relationships/hyperlink" Target="https://tempo-sp.com/vault/files/Tempo_LKO_IfThen_Opt2_Feb20.pdf" TargetMode="External"/><Relationship Id="rId24" Type="http://schemas.openxmlformats.org/officeDocument/2006/relationships/hyperlink" Target="https://tempo-sp.com/vault/files/Tempo_BLKO2_Maturity-performance-and-comparison.pdf" TargetMode="External"/><Relationship Id="rId32" Type="http://schemas.openxmlformats.org/officeDocument/2006/relationships/hyperlink" Target="https://tempo-sp.com/vault/files/Tempo_Issue-14_LKO2_Maturity-performance-and-comparison.pdf" TargetMode="External"/><Relationship Id="rId37" Type="http://schemas.openxmlformats.org/officeDocument/2006/relationships/hyperlink" Target="https://tempo-sp.com/vault/files/Tempo_Issue-15_LKO1_Maturity-performance-and-comparison.pdf" TargetMode="External"/><Relationship Id="rId40" Type="http://schemas.openxmlformats.org/officeDocument/2006/relationships/hyperlink" Target="https://tempo-sp.com/vault/files/Tempo_Issue-06_LKO2_Maturity-performance-and-comparison.pdf" TargetMode="External"/><Relationship Id="rId45" Type="http://schemas.openxmlformats.org/officeDocument/2006/relationships/hyperlink" Target="https://tempo-sp.com/vault/files/Tempo_LKO_Opt1_IfThen_Dec19.pdf" TargetMode="External"/><Relationship Id="rId5" Type="http://schemas.openxmlformats.org/officeDocument/2006/relationships/hyperlink" Target="https://tempo-sp.com/vault/files/Tempo_LKO_Brochure_Dec2018.pdf" TargetMode="External"/><Relationship Id="rId15" Type="http://schemas.openxmlformats.org/officeDocument/2006/relationships/hyperlink" Target="https://tempo-sp.com/vault/files/Tempo_LKO_Brochure_June20.pdf" TargetMode="External"/><Relationship Id="rId23" Type="http://schemas.openxmlformats.org/officeDocument/2006/relationships/hyperlink" Target="https://tempo-sp.com/vault/files/Tempo_LKO_Opt2_IfThen_June20_PART2.pdf" TargetMode="External"/><Relationship Id="rId28" Type="http://schemas.openxmlformats.org/officeDocument/2006/relationships/hyperlink" Target="https://tempo-sp.com/vault/files/Tempo_LKO_Brochure_July20.pdf" TargetMode="External"/><Relationship Id="rId36" Type="http://schemas.openxmlformats.org/officeDocument/2006/relationships/hyperlink" Target="https://tempo-sp.com/vault/files/Tempo_LKO_Opt1_IfThen_Sep20.pdf" TargetMode="External"/><Relationship Id="rId10" Type="http://schemas.openxmlformats.org/officeDocument/2006/relationships/hyperlink" Target="https://tempo-sp.com/vault/files/Tempo_Issue-11_LKO2_Maturity-performance-and-comparison.pdf" TargetMode="External"/><Relationship Id="rId19" Type="http://schemas.openxmlformats.org/officeDocument/2006/relationships/hyperlink" Target="https://tempo-sp.com/vault/files/Tempo_LKO_Opt1_IfThen_June2020.pdf" TargetMode="External"/><Relationship Id="rId31" Type="http://schemas.openxmlformats.org/officeDocument/2006/relationships/hyperlink" Target="https://tempo-sp.com/vault/files/Tempo_Issue-14_LKO1_Maturity-performance-and-comparison.pdf" TargetMode="External"/><Relationship Id="rId44" Type="http://schemas.openxmlformats.org/officeDocument/2006/relationships/hyperlink" Target="https://tempo-sp.com/vault/files/Tempo_Issue-07_LKO2_Maturity-performance-and-comparison.pdf" TargetMode="External"/><Relationship Id="rId4" Type="http://schemas.openxmlformats.org/officeDocument/2006/relationships/hyperlink" Target="https://tempo-sp.com/vault/files/Tempo_Issue-3_LKO2_Maturity-performance-and-comparison.pdf" TargetMode="External"/><Relationship Id="rId9" Type="http://schemas.openxmlformats.org/officeDocument/2006/relationships/hyperlink" Target="https://tempo-sp.com/vault/files/Tempo_LKO_Brochure_Feb20-1.pdf" TargetMode="External"/><Relationship Id="rId14" Type="http://schemas.openxmlformats.org/officeDocument/2006/relationships/hyperlink" Target="https://tempo-sp.com/vault/files/Tempo_LKO_IfThen_Opt1_Apr20.pdf" TargetMode="External"/><Relationship Id="rId22" Type="http://schemas.openxmlformats.org/officeDocument/2006/relationships/hyperlink" Target="https://tempo-sp.com/vault/files/Tempo_Issue-13.2_LKO2_Maturity-performance-and-comparison.pdf" TargetMode="External"/><Relationship Id="rId27" Type="http://schemas.openxmlformats.org/officeDocument/2006/relationships/hyperlink" Target="https://tempo-sp.com/vault/files/Tempo_LKO_Brochure_July20.pdf" TargetMode="External"/><Relationship Id="rId30" Type="http://schemas.openxmlformats.org/officeDocument/2006/relationships/hyperlink" Target="https://tempo-sp.com/vault/files/Tempo_LKO_Opt2_IfThen_July20.pdf" TargetMode="External"/><Relationship Id="rId35" Type="http://schemas.openxmlformats.org/officeDocument/2006/relationships/hyperlink" Target="https://tempo-sp.com/vault/files/Tempo_LKO_Opt2_IfThen_Sep20.pdf" TargetMode="External"/><Relationship Id="rId43" Type="http://schemas.openxmlformats.org/officeDocument/2006/relationships/hyperlink" Target="https://tempo-sp.com/vault/files/Tempo_LKO_Brochure_Aug19.pdf" TargetMode="External"/><Relationship Id="rId8" Type="http://schemas.openxmlformats.org/officeDocument/2006/relationships/hyperlink" Target="https://tempo-sp.com/vault/files/Tempo_Issue-5_LKO2_Maturity-performance-and-comparison.pdf" TargetMode="External"/><Relationship Id="rId3" Type="http://schemas.openxmlformats.org/officeDocument/2006/relationships/hyperlink" Target="https://tempo-sp.com/vault/files/Tempo_LKO_Brochure_Oct18.pdf" TargetMode="External"/><Relationship Id="rId12" Type="http://schemas.openxmlformats.org/officeDocument/2006/relationships/hyperlink" Target="https://tempo-sp.com/vault/files/Tempo_LKO_Brochure_Apr20.pdf" TargetMode="External"/><Relationship Id="rId17" Type="http://schemas.openxmlformats.org/officeDocument/2006/relationships/hyperlink" Target="https://tempo-sp.com/vault/files/Tempo_Issue-13_LKO1_Maturity-performance-and-comparison.pdf" TargetMode="External"/><Relationship Id="rId25" Type="http://schemas.openxmlformats.org/officeDocument/2006/relationships/hyperlink" Target="https://tempo-sp.com/vault/files/Tempo_Bespoke_LKO_Opt2_Brochure_June20.pdf" TargetMode="External"/><Relationship Id="rId33" Type="http://schemas.openxmlformats.org/officeDocument/2006/relationships/hyperlink" Target="https://tempo-sp.com/vault/files/Tempo_LKO_Brochure_Sep20.pdf" TargetMode="External"/><Relationship Id="rId38" Type="http://schemas.openxmlformats.org/officeDocument/2006/relationships/hyperlink" Target="https://tempo-sp.com/vault/files/Tempo_Issue-15_LKO2_Maturity-performance-and-comparison.pdf" TargetMode="External"/><Relationship Id="rId46" Type="http://schemas.openxmlformats.org/officeDocument/2006/relationships/hyperlink" Target="https://tempo-sp.com/vault/files/Tempo_LKO_Opt2_IfThen_Aug19.pdf" TargetMode="External"/><Relationship Id="rId20" Type="http://schemas.openxmlformats.org/officeDocument/2006/relationships/hyperlink" Target="https://tempo-sp.com/vault/files/Tempo_LKO_Opt2_IfThen_June2020.pdf" TargetMode="External"/><Relationship Id="rId41" Type="http://schemas.openxmlformats.org/officeDocument/2006/relationships/hyperlink" Target="https://tempo-sp.com/vault/files/Tempo_LKO_Brochure_June19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8FA51B-6035-4300-BE34-708891434AC8}">
  <sheetPr>
    <pageSetUpPr fitToPage="1"/>
  </sheetPr>
  <dimension ref="A1:F16"/>
  <sheetViews>
    <sheetView zoomScaleNormal="100" workbookViewId="0">
      <selection activeCell="A25" sqref="A25"/>
    </sheetView>
  </sheetViews>
  <sheetFormatPr defaultRowHeight="14.5" x14ac:dyDescent="0.35"/>
  <cols>
    <col min="1" max="1" width="135.54296875" customWidth="1"/>
    <col min="2" max="3" width="9.1796875" style="80"/>
    <col min="4" max="4" width="9.1796875" customWidth="1"/>
    <col min="5" max="5" width="9.1796875" hidden="1" customWidth="1"/>
    <col min="6" max="6" width="9.1796875" customWidth="1"/>
  </cols>
  <sheetData>
    <row r="1" spans="1:6" ht="15" thickBot="1" x14ac:dyDescent="0.4"/>
    <row r="2" spans="1:6" ht="15" thickBot="1" x14ac:dyDescent="0.4">
      <c r="A2" s="325" t="s">
        <v>0</v>
      </c>
      <c r="B2" s="326"/>
      <c r="C2" s="327"/>
    </row>
    <row r="3" spans="1:6" ht="15" thickBot="1" x14ac:dyDescent="0.4">
      <c r="A3" s="109" t="s">
        <v>173</v>
      </c>
      <c r="B3" s="328">
        <v>310</v>
      </c>
      <c r="C3" s="329"/>
    </row>
    <row r="4" spans="1:6" x14ac:dyDescent="0.35">
      <c r="A4" s="109" t="s">
        <v>1</v>
      </c>
      <c r="B4" s="328">
        <f>COUNT('All LKO plans'!A:A)</f>
        <v>42</v>
      </c>
      <c r="C4" s="329"/>
    </row>
    <row r="5" spans="1:6" x14ac:dyDescent="0.35">
      <c r="A5" s="110" t="s">
        <v>2</v>
      </c>
      <c r="B5" s="143">
        <f>COUNTIF('All LKO plans'!T3:T45,"&gt;0")</f>
        <v>42</v>
      </c>
      <c r="C5" s="144">
        <f>B5/B4</f>
        <v>1</v>
      </c>
      <c r="F5" s="142"/>
    </row>
    <row r="6" spans="1:6" x14ac:dyDescent="0.35">
      <c r="A6" s="110" t="s">
        <v>3</v>
      </c>
      <c r="B6" s="66">
        <f>COUNTIF('All LKO plans'!T3:T45,"0")</f>
        <v>0</v>
      </c>
      <c r="C6" s="67">
        <f>B6/B3</f>
        <v>0</v>
      </c>
    </row>
    <row r="7" spans="1:6" ht="15" thickBot="1" x14ac:dyDescent="0.4">
      <c r="A7" s="111" t="s">
        <v>4</v>
      </c>
      <c r="B7" s="66">
        <f>COUNTIF('All LKO plans'!T3:T45,"&lt;0")</f>
        <v>0</v>
      </c>
      <c r="C7" s="68">
        <f>B7/B3</f>
        <v>0</v>
      </c>
    </row>
    <row r="8" spans="1:6" x14ac:dyDescent="0.35">
      <c r="A8" s="188" t="s">
        <v>5</v>
      </c>
      <c r="B8" s="189">
        <f>MAX('All LKO plans'!L3:L45)</f>
        <v>0.20399999999999999</v>
      </c>
      <c r="C8" s="190">
        <f ca="1">(((1+(B8*E8))/1)^(1/E8)-1)</f>
        <v>0.17252383328607213</v>
      </c>
      <c r="E8">
        <f ca="1">OFFSET('All LKO plans'!$P$2,MATCH(B8,'All LKO plans'!$L:$L,0)-1,0)</f>
        <v>3</v>
      </c>
    </row>
    <row r="9" spans="1:6" x14ac:dyDescent="0.35">
      <c r="A9" s="191" t="s">
        <v>6</v>
      </c>
      <c r="B9" s="192">
        <f>MIN('All LKO plans'!L3:L45)</f>
        <v>5.1999999999999998E-2</v>
      </c>
      <c r="C9" s="193">
        <f ca="1">(((1+(B9*E9))/1)^(1/E9)-1)</f>
        <v>4.9508462297634059E-2</v>
      </c>
      <c r="E9">
        <f ca="1">OFFSET('All LKO plans'!$P$2,MATCH(B9,'All LKO plans'!$L:$L,0)-1,0)</f>
        <v>3</v>
      </c>
    </row>
    <row r="10" spans="1:6" x14ac:dyDescent="0.35">
      <c r="A10" s="191" t="s">
        <v>7</v>
      </c>
      <c r="B10" s="192">
        <f>AVERAGE('All LKO plans'!L3:L45)</f>
        <v>0.10244047619047618</v>
      </c>
      <c r="C10" s="193">
        <f>'All LKO plans'!V46</f>
        <v>9.1680977451190568E-2</v>
      </c>
      <c r="E10">
        <f>'All LKO plans'!P46</f>
        <v>3.1749999999999998</v>
      </c>
    </row>
    <row r="11" spans="1:6" x14ac:dyDescent="0.35">
      <c r="A11" s="161" t="s">
        <v>177</v>
      </c>
      <c r="B11" s="182">
        <f>'LKO &gt;100% of start level'!U15</f>
        <v>0.15033333333333332</v>
      </c>
      <c r="C11" s="183">
        <f>'LKO &gt;100% of start level'!V15</f>
        <v>0.13061412962158661</v>
      </c>
    </row>
    <row r="12" spans="1:6" x14ac:dyDescent="0.35">
      <c r="A12" s="161" t="s">
        <v>179</v>
      </c>
      <c r="B12" s="182">
        <f>'LKO &gt;90% of start level'!U17</f>
        <v>8.861538461538461E-2</v>
      </c>
      <c r="C12" s="183">
        <f>'LKO &gt;90% of start level'!V17</f>
        <v>8.0635406328637652E-2</v>
      </c>
    </row>
    <row r="13" spans="1:6" ht="15" thickBot="1" x14ac:dyDescent="0.4">
      <c r="A13" s="161" t="s">
        <v>178</v>
      </c>
      <c r="B13" s="182">
        <f>'LKO &gt;30%-82.5% of start level'!U21</f>
        <v>7.9205882352941195E-2</v>
      </c>
      <c r="C13" s="183">
        <f>'LKO &gt;30%-82.5% of start level'!V21</f>
        <v>7.2647426183442762E-2</v>
      </c>
    </row>
    <row r="14" spans="1:6" ht="15" thickBot="1" x14ac:dyDescent="0.4">
      <c r="A14" s="112" t="s">
        <v>8</v>
      </c>
      <c r="B14" s="323">
        <v>0</v>
      </c>
      <c r="C14" s="324"/>
    </row>
    <row r="15" spans="1:6" ht="15" thickBot="1" x14ac:dyDescent="0.4">
      <c r="A15" s="112" t="s">
        <v>9</v>
      </c>
      <c r="B15" s="323" t="s">
        <v>10</v>
      </c>
      <c r="C15" s="324"/>
    </row>
    <row r="16" spans="1:6" ht="15" thickBot="1" x14ac:dyDescent="0.4">
      <c r="A16" s="112" t="s">
        <v>11</v>
      </c>
      <c r="B16" s="81" t="s">
        <v>12</v>
      </c>
      <c r="C16" s="310">
        <f>'All LKO plans'!P46</f>
        <v>3.1749999999999998</v>
      </c>
      <c r="D16" s="330"/>
      <c r="E16" s="330"/>
    </row>
  </sheetData>
  <mergeCells count="6">
    <mergeCell ref="B14:C14"/>
    <mergeCell ref="A2:C2"/>
    <mergeCell ref="B3:C3"/>
    <mergeCell ref="D16:E16"/>
    <mergeCell ref="B4:C4"/>
    <mergeCell ref="B15:C15"/>
  </mergeCells>
  <pageMargins left="0.7" right="0.7" top="0.75" bottom="0.75" header="0.3" footer="0.3"/>
  <pageSetup paperSize="9" scale="85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97424-4E83-44C1-9E1A-B87B4EEF7FAD}">
  <dimension ref="A1:C21"/>
  <sheetViews>
    <sheetView workbookViewId="0"/>
  </sheetViews>
  <sheetFormatPr defaultRowHeight="14.5" x14ac:dyDescent="0.35"/>
  <cols>
    <col min="1" max="1" width="136.453125" customWidth="1"/>
  </cols>
  <sheetData>
    <row r="1" spans="1:3" ht="15" thickBot="1" x14ac:dyDescent="0.4"/>
    <row r="2" spans="1:3" ht="15" thickBot="1" x14ac:dyDescent="0.4">
      <c r="A2" s="335" t="s">
        <v>158</v>
      </c>
      <c r="B2" s="336"/>
      <c r="C2" s="337"/>
    </row>
    <row r="3" spans="1:3" x14ac:dyDescent="0.35">
      <c r="A3" s="160" t="s">
        <v>159</v>
      </c>
      <c r="B3" s="270">
        <f>COUNT('LKO &gt;30%-82.5% of start level'!A3:A20)</f>
        <v>17</v>
      </c>
      <c r="C3" s="155">
        <f>B3/COUNT('All LKO plans'!A3:A45)</f>
        <v>0.40476190476190477</v>
      </c>
    </row>
    <row r="4" spans="1:3" ht="15" thickBot="1" x14ac:dyDescent="0.4">
      <c r="A4" s="267" t="s">
        <v>160</v>
      </c>
      <c r="B4" s="268">
        <f>B3</f>
        <v>17</v>
      </c>
      <c r="C4" s="269">
        <v>1</v>
      </c>
    </row>
    <row r="5" spans="1:3" x14ac:dyDescent="0.35">
      <c r="A5" s="188" t="s">
        <v>135</v>
      </c>
      <c r="B5" s="189">
        <f>MAX('LKO &gt;30%-82.5% of start level'!U3:U20)</f>
        <v>0.1125</v>
      </c>
      <c r="C5" s="190">
        <f>MAX('LKO &gt;30%-82.5% of start level'!V3:V20)</f>
        <v>0.1017877266108127</v>
      </c>
    </row>
    <row r="6" spans="1:3" x14ac:dyDescent="0.35">
      <c r="A6" s="191" t="s">
        <v>136</v>
      </c>
      <c r="B6" s="192">
        <f>MIN('LKO &gt;30%-82.5% of start level'!U3:U20)</f>
        <v>5.1999999999999998E-2</v>
      </c>
      <c r="C6" s="193">
        <f>MIN('LKO &gt;30%-82.5% of start level'!V3:V20)</f>
        <v>4.9508462297634059E-2</v>
      </c>
    </row>
    <row r="7" spans="1:3" ht="15" thickBot="1" x14ac:dyDescent="0.4">
      <c r="A7" s="198" t="s">
        <v>137</v>
      </c>
      <c r="B7" s="271">
        <f>AVERAGE('LKO &gt;30%-82.5% of start level'!U3:U20)</f>
        <v>7.9205882352941195E-2</v>
      </c>
      <c r="C7" s="272">
        <f>AVERAGE('LKO &gt;30%-82.5% of start level'!V3:V20)</f>
        <v>7.2647426183442762E-2</v>
      </c>
    </row>
    <row r="8" spans="1:3" x14ac:dyDescent="0.35">
      <c r="A8" s="160" t="s">
        <v>161</v>
      </c>
      <c r="B8" s="270">
        <f>COUNTIF('LKO &gt;30%-82.5% of start level'!AB3:AB20,"&gt;0")</f>
        <v>8</v>
      </c>
      <c r="C8" s="155">
        <f>B8/B3</f>
        <v>0.47058823529411764</v>
      </c>
    </row>
    <row r="9" spans="1:3" x14ac:dyDescent="0.35">
      <c r="A9" s="252" t="s">
        <v>139</v>
      </c>
      <c r="B9" s="244">
        <f>MAX('LKO &gt;30%-82.5% of start level'!AB3:AB20)</f>
        <v>0.15830000000000002</v>
      </c>
      <c r="C9" s="238">
        <f>MAX('LKO &gt;30%-82.5% of start level'!AC3:AC20)</f>
        <v>5.0204041979485359E-2</v>
      </c>
    </row>
    <row r="10" spans="1:3" x14ac:dyDescent="0.35">
      <c r="A10" s="252" t="s">
        <v>140</v>
      </c>
      <c r="B10" s="244">
        <f>_xlfn.MINIFS('LKO &gt;30%-82.5% of start level'!AB3:AB20,'LKO &gt;30%-82.5% of start level'!AB3:AB20,"&gt;0")</f>
        <v>6.9999999999997842E-4</v>
      </c>
      <c r="C10" s="238">
        <f>_xlfn.MINIFS('LKO &gt;30%-82.5% of start level'!AC3:AC20,'LKO &gt;30%-82.5% of start level'!AC3:AC20,"&gt;0")</f>
        <v>2.3327891005187062E-4</v>
      </c>
    </row>
    <row r="11" spans="1:3" ht="15" thickBot="1" x14ac:dyDescent="0.4">
      <c r="A11" s="273" t="s">
        <v>141</v>
      </c>
      <c r="B11" s="274">
        <f>AVERAGEIFS('LKO &gt;30%-82.5% of start level'!AB3:AB20,'LKO &gt;30%-82.5% of start level'!AB3:AB20,"&gt;0")</f>
        <v>5.2243641577976105E-2</v>
      </c>
      <c r="C11" s="275">
        <f>AVERAGEIFS('LKO &gt;30%-82.5% of start level'!AC3:AC20,'LKO &gt;30%-82.5% of start level'!AC3:AC20,"&gt;0")</f>
        <v>1.4823104978426732E-2</v>
      </c>
    </row>
    <row r="12" spans="1:3" x14ac:dyDescent="0.35">
      <c r="A12" s="261" t="s">
        <v>155</v>
      </c>
      <c r="B12" s="262">
        <f>MAX('LKO &gt;30%-82.5% of start level'!AD3:AD20)</f>
        <v>0.22697694795572554</v>
      </c>
      <c r="C12" s="263">
        <f>MAX('LKO &gt;30%-82.5% of start level'!AE3:AE20)</f>
        <v>0.76235153024746882</v>
      </c>
    </row>
    <row r="13" spans="1:3" x14ac:dyDescent="0.35">
      <c r="A13" s="254" t="s">
        <v>143</v>
      </c>
      <c r="B13" s="245">
        <f>MIN('LKO &gt;30%-82.5% of start level'!AD3:AD20)</f>
        <v>3.0371365511947079E-2</v>
      </c>
      <c r="C13" s="239">
        <f>MIN('LKO &gt;30%-82.5% of start level'!AE3:AE20)</f>
        <v>0.30047083764729077</v>
      </c>
    </row>
    <row r="14" spans="1:3" ht="15" thickBot="1" x14ac:dyDescent="0.4">
      <c r="A14" s="264" t="s">
        <v>144</v>
      </c>
      <c r="B14" s="265">
        <f>AVERAGE('LKO &gt;30%-82.5% of start level'!AD3:AD20)</f>
        <v>9.7803510808601168E-2</v>
      </c>
      <c r="C14" s="266">
        <f>AVERAGE('LKO &gt;30%-82.5% of start level'!AE3:AE20)</f>
        <v>0.48015645198507179</v>
      </c>
    </row>
    <row r="15" spans="1:3" x14ac:dyDescent="0.35">
      <c r="A15" s="258" t="s">
        <v>145</v>
      </c>
      <c r="B15" s="278">
        <f>MIN('LKO &gt;30%-82.5% of start level'!I3:I20)</f>
        <v>0.3</v>
      </c>
      <c r="C15" s="279">
        <f>1-B15</f>
        <v>0.7</v>
      </c>
    </row>
    <row r="16" spans="1:3" x14ac:dyDescent="0.35">
      <c r="A16" s="255" t="s">
        <v>146</v>
      </c>
      <c r="B16" s="277">
        <f>MAX('LKO &gt;30%-82.5% of start level'!I3:I20)</f>
        <v>0.6</v>
      </c>
      <c r="C16" s="276">
        <f t="shared" ref="C16:C17" si="0">1-B16</f>
        <v>0.4</v>
      </c>
    </row>
    <row r="17" spans="1:3" x14ac:dyDescent="0.35">
      <c r="A17" s="255" t="s">
        <v>147</v>
      </c>
      <c r="B17" s="277">
        <f>AVERAGE('LKO &gt;30%-82.5% of start level'!I3:I20)</f>
        <v>0.49411764705882366</v>
      </c>
      <c r="C17" s="276">
        <f t="shared" si="0"/>
        <v>0.50588235294117634</v>
      </c>
    </row>
    <row r="18" spans="1:3" ht="15" thickBot="1" x14ac:dyDescent="0.4">
      <c r="A18" s="256" t="s">
        <v>148</v>
      </c>
      <c r="B18" s="351">
        <f>AVERAGE('LKO &gt;30%-82.5% of start level'!AG3:AG20)</f>
        <v>0.58603880492624827</v>
      </c>
      <c r="C18" s="352"/>
    </row>
    <row r="19" spans="1:3" ht="15" thickBot="1" x14ac:dyDescent="0.4">
      <c r="A19" s="112" t="s">
        <v>11</v>
      </c>
      <c r="B19" s="81" t="s">
        <v>12</v>
      </c>
      <c r="C19" s="310">
        <v>3.35</v>
      </c>
    </row>
    <row r="21" spans="1:3" x14ac:dyDescent="0.35">
      <c r="A21" t="s">
        <v>156</v>
      </c>
    </row>
  </sheetData>
  <mergeCells count="2">
    <mergeCell ref="A2:C2"/>
    <mergeCell ref="B18:C1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1D2D64-7D45-4E5F-B233-D2244067891B}">
  <dimension ref="A1:S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H21" sqref="H21"/>
    </sheetView>
  </sheetViews>
  <sheetFormatPr defaultRowHeight="14.5" x14ac:dyDescent="0.35"/>
  <cols>
    <col min="1" max="1" width="3.81640625" style="19" customWidth="1"/>
    <col min="2" max="2" width="18.81640625" customWidth="1"/>
    <col min="3" max="3" width="11.81640625" bestFit="1" customWidth="1"/>
    <col min="4" max="4" width="13" customWidth="1"/>
    <col min="5" max="5" width="11.1796875" bestFit="1" customWidth="1"/>
    <col min="6" max="6" width="15.1796875" customWidth="1"/>
    <col min="7" max="7" width="16.81640625" customWidth="1"/>
    <col min="8" max="8" width="13.1796875" customWidth="1"/>
    <col min="9" max="11" width="12.1796875" customWidth="1"/>
    <col min="12" max="12" width="19" customWidth="1"/>
    <col min="13" max="13" width="16.81640625" customWidth="1"/>
    <col min="14" max="14" width="22.54296875" customWidth="1"/>
    <col min="15" max="15" width="20.81640625" customWidth="1"/>
    <col min="16" max="16" width="16" customWidth="1"/>
    <col min="17" max="17" width="15" customWidth="1"/>
    <col min="18" max="18" width="12" customWidth="1"/>
    <col min="19" max="19" width="13" customWidth="1"/>
    <col min="21" max="61" width="8.81640625" customWidth="1"/>
  </cols>
  <sheetData>
    <row r="1" spans="1:19" ht="15" thickBot="1" x14ac:dyDescent="0.4">
      <c r="A1" s="344" t="s">
        <v>162</v>
      </c>
      <c r="B1" s="344"/>
      <c r="C1" s="344"/>
      <c r="D1" s="344"/>
      <c r="E1" s="344"/>
      <c r="F1" s="344"/>
      <c r="G1" s="344"/>
      <c r="H1" s="344"/>
      <c r="I1" s="345"/>
      <c r="J1" s="345"/>
      <c r="K1" s="345"/>
      <c r="L1" s="344"/>
      <c r="M1" s="344"/>
      <c r="N1" s="344"/>
      <c r="O1" s="344"/>
      <c r="P1" s="344"/>
      <c r="Q1" s="344"/>
      <c r="R1" s="344"/>
      <c r="S1" s="344"/>
    </row>
    <row r="2" spans="1:19" ht="44" thickBot="1" x14ac:dyDescent="0.4">
      <c r="A2" s="21"/>
      <c r="B2" s="10" t="s">
        <v>41</v>
      </c>
      <c r="C2" s="10" t="s">
        <v>45</v>
      </c>
      <c r="D2" s="8" t="s">
        <v>163</v>
      </c>
      <c r="E2" s="9" t="s">
        <v>47</v>
      </c>
      <c r="F2" s="9" t="s">
        <v>164</v>
      </c>
      <c r="G2" s="15" t="s">
        <v>49</v>
      </c>
      <c r="H2" s="15" t="s">
        <v>50</v>
      </c>
      <c r="I2" s="15" t="s">
        <v>165</v>
      </c>
      <c r="J2" s="10" t="s">
        <v>166</v>
      </c>
      <c r="K2" s="52" t="s">
        <v>167</v>
      </c>
      <c r="L2" s="14" t="s">
        <v>168</v>
      </c>
      <c r="M2" s="10" t="s">
        <v>49</v>
      </c>
      <c r="N2" s="9" t="s">
        <v>169</v>
      </c>
      <c r="O2" s="9" t="s">
        <v>170</v>
      </c>
      <c r="P2" s="9" t="s">
        <v>57</v>
      </c>
      <c r="Q2" s="9" t="s">
        <v>58</v>
      </c>
      <c r="R2" s="9" t="s">
        <v>55</v>
      </c>
      <c r="S2" s="10" t="s">
        <v>171</v>
      </c>
    </row>
    <row r="3" spans="1:19" ht="15" thickBot="1" x14ac:dyDescent="0.4">
      <c r="A3" s="25">
        <v>1</v>
      </c>
      <c r="B3" s="12"/>
      <c r="C3" s="43"/>
      <c r="D3" s="42"/>
      <c r="E3" s="40"/>
      <c r="F3" s="1"/>
      <c r="G3" s="114"/>
      <c r="H3" s="84"/>
      <c r="I3" s="115"/>
      <c r="J3" s="118"/>
      <c r="K3" s="118"/>
      <c r="L3" s="95"/>
      <c r="M3" s="95"/>
      <c r="N3" s="1"/>
      <c r="O3" s="5"/>
      <c r="P3" s="120"/>
      <c r="Q3" s="93"/>
      <c r="R3" s="29"/>
      <c r="S3" s="113"/>
    </row>
    <row r="4" spans="1:19" ht="15" thickBot="1" x14ac:dyDescent="0.4">
      <c r="A4" s="26">
        <v>2</v>
      </c>
      <c r="B4" s="16"/>
      <c r="C4" s="44"/>
      <c r="D4" s="45"/>
      <c r="E4" s="40"/>
      <c r="F4" s="18"/>
      <c r="G4" s="114"/>
      <c r="H4" s="84"/>
      <c r="I4" s="116"/>
      <c r="J4" s="119"/>
      <c r="K4" s="119"/>
      <c r="L4" s="96"/>
      <c r="M4" s="95"/>
      <c r="N4" s="18"/>
      <c r="O4" s="17"/>
      <c r="P4" s="121"/>
      <c r="Q4" s="94"/>
      <c r="R4" s="29"/>
      <c r="S4" s="113"/>
    </row>
    <row r="5" spans="1:19" ht="15" thickBot="1" x14ac:dyDescent="0.4">
      <c r="A5" s="20"/>
      <c r="B5" s="7" t="s">
        <v>120</v>
      </c>
      <c r="C5" s="7"/>
      <c r="D5" s="13"/>
      <c r="E5" s="11"/>
      <c r="F5" s="2" t="str">
        <f>IFERROR("",AVERAGE(F3:F4))</f>
        <v/>
      </c>
      <c r="G5" s="2" t="str">
        <f>IFERROR("",AVERAGE(G3:G4))</f>
        <v/>
      </c>
      <c r="H5" s="76"/>
      <c r="I5" s="2" t="str">
        <f>IFERROR("",AVERAGE(I3:I4))</f>
        <v/>
      </c>
      <c r="J5" s="79"/>
      <c r="K5" s="117"/>
      <c r="L5" s="2" t="str">
        <f>IFERROR("",AVERAGE(L3:L4))</f>
        <v/>
      </c>
      <c r="M5" s="2" t="str">
        <f>IFERROR("",AVERAGE(M3:M4))</f>
        <v/>
      </c>
      <c r="N5" s="2" t="str">
        <f>IFERROR("",AVERAGE(N3:N4))</f>
        <v/>
      </c>
      <c r="O5" s="11"/>
      <c r="P5" s="2" t="str">
        <f>IFERROR("",AVERAGE(P3:P4))</f>
        <v/>
      </c>
      <c r="Q5" s="2" t="str">
        <f>IFERROR("",AVERAGE(Q3:Q4))</f>
        <v/>
      </c>
      <c r="R5" s="38"/>
      <c r="S5" s="2" t="str">
        <f>IFERROR("",AVERAGE(S3:S4))</f>
        <v/>
      </c>
    </row>
    <row r="7" spans="1:19" x14ac:dyDescent="0.35">
      <c r="B7" s="142"/>
      <c r="P7" s="122"/>
      <c r="S7" s="56"/>
    </row>
  </sheetData>
  <autoFilter ref="B2:S4" xr:uid="{E01D2D64-7D45-4E5F-B233-D2244067891B}"/>
  <mergeCells count="1">
    <mergeCell ref="A1:S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5DB5C-62E6-4D2B-A24A-7B9F9094148F}">
  <dimension ref="A1"/>
  <sheetViews>
    <sheetView workbookViewId="0">
      <selection activeCell="N24" sqref="N24"/>
    </sheetView>
  </sheetViews>
  <sheetFormatPr defaultRowHeight="14.5" x14ac:dyDescent="0.3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2A3863-3A7C-4525-BFC6-BD868101792D}">
  <sheetPr>
    <pageSetUpPr fitToPage="1"/>
  </sheetPr>
  <dimension ref="A1:D18"/>
  <sheetViews>
    <sheetView workbookViewId="0"/>
  </sheetViews>
  <sheetFormatPr defaultRowHeight="14.5" x14ac:dyDescent="0.35"/>
  <cols>
    <col min="1" max="1" width="135.81640625" customWidth="1"/>
  </cols>
  <sheetData>
    <row r="1" spans="1:4" ht="15" thickBot="1" x14ac:dyDescent="0.4"/>
    <row r="2" spans="1:4" ht="15" thickBot="1" x14ac:dyDescent="0.4">
      <c r="A2" s="325" t="s">
        <v>13</v>
      </c>
      <c r="B2" s="326"/>
      <c r="C2" s="327"/>
    </row>
    <row r="3" spans="1:4" x14ac:dyDescent="0.35">
      <c r="A3" s="109" t="s">
        <v>14</v>
      </c>
      <c r="B3" s="69">
        <f>COUNTIF('All LKO plans'!M3:M45,"&gt;1")</f>
        <v>0</v>
      </c>
      <c r="C3" s="70">
        <f>B3/'Summary of performance'!$B$4</f>
        <v>0</v>
      </c>
    </row>
    <row r="4" spans="1:4" x14ac:dyDescent="0.35">
      <c r="A4" s="110" t="s">
        <v>15</v>
      </c>
      <c r="B4" s="66">
        <f>COUNT('LKO &gt;100% of start level'!A:A)</f>
        <v>12</v>
      </c>
      <c r="C4" s="67">
        <f>B4/'Summary of performance'!$B$4</f>
        <v>0.2857142857142857</v>
      </c>
    </row>
    <row r="5" spans="1:4" x14ac:dyDescent="0.35">
      <c r="A5" s="110" t="s">
        <v>16</v>
      </c>
      <c r="B5" s="66">
        <f>B6+B7</f>
        <v>30</v>
      </c>
      <c r="C5" s="67">
        <f>IF(((B5/'Summary of performance'!$B$4)+C4)&gt;1, 1-C4,B5/'Summary of performance'!$B$4)</f>
        <v>0.7142857142857143</v>
      </c>
      <c r="D5" s="57"/>
    </row>
    <row r="6" spans="1:4" x14ac:dyDescent="0.35">
      <c r="A6" s="213" t="s">
        <v>17</v>
      </c>
      <c r="B6" s="214">
        <f>COUNT('LKO &gt;90% of start level'!M3:M15)</f>
        <v>13</v>
      </c>
      <c r="C6" s="215">
        <f>B6/'Summary of performance'!$B$4</f>
        <v>0.30952380952380953</v>
      </c>
    </row>
    <row r="7" spans="1:4" x14ac:dyDescent="0.35">
      <c r="A7" s="213" t="s">
        <v>18</v>
      </c>
      <c r="B7" s="214">
        <f>COUNT('LKO &gt;30%-82.5% of start level'!A:A)</f>
        <v>17</v>
      </c>
      <c r="C7" s="215">
        <f>B7/'Summary of performance'!$B$4</f>
        <v>0.40476190476190477</v>
      </c>
    </row>
    <row r="8" spans="1:4" ht="15" thickBot="1" x14ac:dyDescent="0.4">
      <c r="A8" s="213" t="s">
        <v>19</v>
      </c>
      <c r="B8" s="331">
        <f>1-'LKO &gt;30%-82.5% of start level'!O21</f>
        <v>0.3999999999999998</v>
      </c>
      <c r="C8" s="332"/>
    </row>
    <row r="9" spans="1:4" x14ac:dyDescent="0.35">
      <c r="A9" s="188" t="s">
        <v>20</v>
      </c>
      <c r="B9" s="194">
        <f>MIN('All LKO plans'!I3:I45)</f>
        <v>0.3</v>
      </c>
      <c r="C9" s="195">
        <f>1-B9</f>
        <v>0.7</v>
      </c>
    </row>
    <row r="10" spans="1:4" x14ac:dyDescent="0.35">
      <c r="A10" s="191" t="s">
        <v>21</v>
      </c>
      <c r="B10" s="196">
        <f>MAX('All LKO plans'!I3:I45)</f>
        <v>0.6</v>
      </c>
      <c r="C10" s="197">
        <f>1-B10</f>
        <v>0.4</v>
      </c>
    </row>
    <row r="11" spans="1:4" x14ac:dyDescent="0.35">
      <c r="A11" s="191" t="s">
        <v>22</v>
      </c>
      <c r="B11" s="196">
        <f>AVERAGE('All LKO plans'!I3:I45)</f>
        <v>0.53095238095238095</v>
      </c>
      <c r="C11" s="197">
        <f>1-B11</f>
        <v>0.46904761904761905</v>
      </c>
    </row>
    <row r="12" spans="1:4" ht="15" thickBot="1" x14ac:dyDescent="0.4">
      <c r="A12" s="198" t="s">
        <v>23</v>
      </c>
      <c r="B12" s="333">
        <f>AVERAGE('All LKO plans'!AG3:AG45)</f>
        <v>0.53311344425784513</v>
      </c>
      <c r="C12" s="334"/>
    </row>
    <row r="17" spans="2:2" x14ac:dyDescent="0.35">
      <c r="B17" s="58"/>
    </row>
    <row r="18" spans="2:2" x14ac:dyDescent="0.35">
      <c r="B18" s="58"/>
    </row>
  </sheetData>
  <mergeCells count="3">
    <mergeCell ref="A2:C2"/>
    <mergeCell ref="B8:C8"/>
    <mergeCell ref="B12:C12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DDC57-336A-4F77-BF51-DD6E0E693DDD}">
  <sheetPr>
    <pageSetUpPr fitToPage="1"/>
  </sheetPr>
  <dimension ref="A1:C18"/>
  <sheetViews>
    <sheetView tabSelected="1" workbookViewId="0">
      <selection activeCell="F5" sqref="F5"/>
    </sheetView>
  </sheetViews>
  <sheetFormatPr defaultRowHeight="14.5" x14ac:dyDescent="0.35"/>
  <cols>
    <col min="1" max="1" width="136.453125" customWidth="1"/>
  </cols>
  <sheetData>
    <row r="1" spans="1:3" ht="15" thickBot="1" x14ac:dyDescent="0.4"/>
    <row r="2" spans="1:3" ht="15" thickBot="1" x14ac:dyDescent="0.4">
      <c r="A2" s="335" t="s">
        <v>24</v>
      </c>
      <c r="B2" s="336"/>
      <c r="C2" s="337"/>
    </row>
    <row r="3" spans="1:3" x14ac:dyDescent="0.35">
      <c r="A3" s="157" t="s">
        <v>25</v>
      </c>
      <c r="B3" s="156">
        <f>(COUNTIF('All LKO plans'!AB3:AB45,"&gt;0"))</f>
        <v>31</v>
      </c>
      <c r="C3" s="155">
        <f>B3/'Summary of performance'!$B$4</f>
        <v>0.73809523809523814</v>
      </c>
    </row>
    <row r="4" spans="1:3" x14ac:dyDescent="0.35">
      <c r="A4" s="163" t="s">
        <v>26</v>
      </c>
      <c r="B4" s="211">
        <f>COUNTIF('LKO &gt;100% of start level'!AB3:AB14,"&gt;0")</f>
        <v>12</v>
      </c>
      <c r="C4" s="212">
        <f>B4/COUNT('LKO &gt;100% of start level'!AB3:AB14)</f>
        <v>1</v>
      </c>
    </row>
    <row r="5" spans="1:3" x14ac:dyDescent="0.35">
      <c r="A5" s="163" t="s">
        <v>27</v>
      </c>
      <c r="B5" s="211">
        <f>COUNTIF('LKO &gt;90% of start level'!AB3:AB15,"&gt;0")</f>
        <v>11</v>
      </c>
      <c r="C5" s="212">
        <f>B5/COUNT('LKO &gt;90% of start level'!AB3:AB15)</f>
        <v>0.84615384615384615</v>
      </c>
    </row>
    <row r="6" spans="1:3" ht="15" thickBot="1" x14ac:dyDescent="0.4">
      <c r="A6" s="164" t="s">
        <v>28</v>
      </c>
      <c r="B6" s="211">
        <f>COUNTIF('LKO &gt;30%-82.5% of start level'!AB3:AB20,"&gt;0")</f>
        <v>8</v>
      </c>
      <c r="C6" s="212">
        <f>B6/COUNT('LKO &gt;30%-82.5% of start level'!AB3:AB20)</f>
        <v>0.47058823529411764</v>
      </c>
    </row>
    <row r="7" spans="1:3" x14ac:dyDescent="0.35">
      <c r="A7" s="199" t="s">
        <v>29</v>
      </c>
      <c r="B7" s="189">
        <f>MAX('All LKO plans'!AB3:AB45)</f>
        <v>0.34361548776399575</v>
      </c>
      <c r="C7" s="200">
        <f>MAX('All LKO plans'!AC3:AC45)</f>
        <v>8.5908404151164852E-2</v>
      </c>
    </row>
    <row r="8" spans="1:3" x14ac:dyDescent="0.35">
      <c r="A8" s="201" t="s">
        <v>30</v>
      </c>
      <c r="B8" s="192">
        <f>_xlfn.MINIFS('All LKO plans'!AB3:AB45,'All LKO plans'!AB3:AB45,"&gt;0")</f>
        <v>6.9999999999997842E-4</v>
      </c>
      <c r="C8" s="202">
        <f>_xlfn.MINIFS('All LKO plans'!AC3:AC45,'All LKO plans'!AC3:AC45,"&gt;0")</f>
        <v>2.3327891005187062E-4</v>
      </c>
    </row>
    <row r="9" spans="1:3" x14ac:dyDescent="0.35">
      <c r="A9" s="201" t="s">
        <v>31</v>
      </c>
      <c r="B9" s="203">
        <f>AVERAGEIF('All LKO plans'!AB3:AB45,"&gt;0",'All LKO plans'!AB3:AB45)</f>
        <v>0.13038490032604613</v>
      </c>
      <c r="C9" s="204">
        <f>AVERAGEIF('All LKO plans'!AC3:AC45,"&gt;0",'All LKO plans'!AC3:AC45)</f>
        <v>3.7305720753415816E-2</v>
      </c>
    </row>
    <row r="10" spans="1:3" x14ac:dyDescent="0.35">
      <c r="A10" s="205" t="s">
        <v>32</v>
      </c>
      <c r="B10" s="206">
        <f>'LKO &gt;100% of start level'!AB15</f>
        <v>0.16222356479030178</v>
      </c>
      <c r="C10" s="207">
        <f>'LKO &gt;100% of start level'!AC15</f>
        <v>4.6954951552844348E-2</v>
      </c>
    </row>
    <row r="11" spans="1:3" x14ac:dyDescent="0.35">
      <c r="A11" s="205" t="s">
        <v>33</v>
      </c>
      <c r="B11" s="206">
        <f>'LKO &gt;90% of start level'!AB20</f>
        <v>0.15248181818181816</v>
      </c>
      <c r="C11" s="207">
        <f>'LKO &gt;90% of start level'!AC20</f>
        <v>4.3127411399879613E-2</v>
      </c>
    </row>
    <row r="12" spans="1:3" ht="15" thickBot="1" x14ac:dyDescent="0.4">
      <c r="A12" s="208" t="s">
        <v>34</v>
      </c>
      <c r="B12" s="209">
        <f>'LKO &gt;30%-82.5% of start level'!AB24</f>
        <v>5.2243641577976105E-2</v>
      </c>
      <c r="C12" s="210">
        <f>'LKO &gt;30%-82.5% of start level'!AC24</f>
        <v>1.4823104978426732E-2</v>
      </c>
    </row>
    <row r="13" spans="1:3" x14ac:dyDescent="0.35">
      <c r="A13" s="160" t="s">
        <v>35</v>
      </c>
      <c r="B13" s="158">
        <f>'All LKO plans'!AD46</f>
        <v>9.9785224623941626E-2</v>
      </c>
      <c r="C13" s="159">
        <f>'All LKO plans'!AE46</f>
        <v>0.25692296806736875</v>
      </c>
    </row>
    <row r="14" spans="1:3" x14ac:dyDescent="0.35">
      <c r="A14" s="162" t="s">
        <v>36</v>
      </c>
      <c r="B14" s="184">
        <f>'LKO &gt;100% of start level'!AD15</f>
        <v>9.5188452066654494E-2</v>
      </c>
      <c r="C14" s="185">
        <f>'LKO &gt;100% of start level'!AE15</f>
        <v>9.5188452066654494E-2</v>
      </c>
    </row>
    <row r="15" spans="1:3" x14ac:dyDescent="0.35">
      <c r="A15" s="162" t="s">
        <v>37</v>
      </c>
      <c r="B15" s="184">
        <f>'LKO &gt;90% of start level'!AD17</f>
        <v>0.11429911365828302</v>
      </c>
      <c r="C15" s="185">
        <f>'LKO &gt;90% of start level'!AE17</f>
        <v>0.11429911365828302</v>
      </c>
    </row>
    <row r="16" spans="1:3" ht="15" thickBot="1" x14ac:dyDescent="0.4">
      <c r="A16" s="165" t="s">
        <v>38</v>
      </c>
      <c r="B16" s="186">
        <f>'LKO &gt;30%-82.5% of start level'!AD21</f>
        <v>9.7803510808601168E-2</v>
      </c>
      <c r="C16" s="187">
        <f>'LKO &gt;30%-82.5% of start level'!AE21</f>
        <v>0.48015645198507179</v>
      </c>
    </row>
    <row r="18" spans="1:1" x14ac:dyDescent="0.35">
      <c r="A18" t="s">
        <v>39</v>
      </c>
    </row>
  </sheetData>
  <mergeCells count="1">
    <mergeCell ref="A2:C2"/>
  </mergeCells>
  <pageMargins left="0.7" right="0.7" top="0.75" bottom="0.75" header="0.3" footer="0.3"/>
  <pageSetup paperSize="9" scale="8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A0464C-98DB-4250-9B10-FEBB8691F31F}">
  <dimension ref="A1:AK62"/>
  <sheetViews>
    <sheetView zoomScale="90" zoomScaleNormal="90" workbookViewId="0">
      <pane xSplit="2" ySplit="2" topLeftCell="V27" activePane="bottomRight" state="frozen"/>
      <selection pane="topRight" activeCell="C1" sqref="C1"/>
      <selection pane="bottomLeft" activeCell="A3" sqref="A3"/>
      <selection pane="bottomRight" activeCell="A47" sqref="A47"/>
    </sheetView>
  </sheetViews>
  <sheetFormatPr defaultRowHeight="14.5" x14ac:dyDescent="0.35"/>
  <cols>
    <col min="1" max="1" width="3.81640625" style="19" customWidth="1"/>
    <col min="2" max="2" width="19.1796875" customWidth="1"/>
    <col min="3" max="3" width="15.81640625" customWidth="1"/>
    <col min="4" max="4" width="15.1796875" customWidth="1"/>
    <col min="5" max="5" width="12.1796875" customWidth="1"/>
    <col min="6" max="7" width="12.81640625" customWidth="1"/>
    <col min="8" max="8" width="11.1796875" customWidth="1"/>
    <col min="9" max="9" width="14.453125" customWidth="1"/>
    <col min="10" max="10" width="17.1796875" customWidth="1"/>
    <col min="11" max="12" width="14.81640625" customWidth="1"/>
    <col min="13" max="13" width="20.81640625" customWidth="1"/>
    <col min="14" max="14" width="39.453125" bestFit="1" customWidth="1"/>
    <col min="15" max="15" width="16.81640625" bestFit="1" customWidth="1"/>
    <col min="16" max="16" width="12" customWidth="1"/>
    <col min="17" max="17" width="18.81640625" customWidth="1"/>
    <col min="18" max="18" width="16" customWidth="1"/>
    <col min="19" max="19" width="15" customWidth="1"/>
    <col min="20" max="22" width="14" customWidth="1"/>
    <col min="23" max="23" width="19.453125" customWidth="1"/>
    <col min="24" max="24" width="12" bestFit="1" customWidth="1"/>
    <col min="25" max="26" width="19.81640625" customWidth="1"/>
    <col min="27" max="27" width="29.81640625" customWidth="1"/>
    <col min="28" max="28" width="19.54296875" customWidth="1"/>
    <col min="29" max="29" width="16.81640625" customWidth="1"/>
    <col min="30" max="31" width="18.1796875" customWidth="1"/>
    <col min="32" max="32" width="19.453125" customWidth="1"/>
    <col min="33" max="33" width="22.81640625" bestFit="1" customWidth="1"/>
    <col min="35" max="35" width="8.81640625" hidden="1" customWidth="1"/>
    <col min="36" max="36" width="8.81640625" customWidth="1"/>
  </cols>
  <sheetData>
    <row r="1" spans="1:37" ht="15" thickBot="1" x14ac:dyDescent="0.4">
      <c r="A1" s="344" t="s">
        <v>40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5"/>
      <c r="U1" s="345"/>
      <c r="V1" s="345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6"/>
    </row>
    <row r="2" spans="1:37" ht="45" customHeight="1" thickBot="1" x14ac:dyDescent="0.4">
      <c r="A2" s="21"/>
      <c r="B2" s="10" t="s">
        <v>41</v>
      </c>
      <c r="C2" s="10" t="s">
        <v>42</v>
      </c>
      <c r="D2" s="283" t="s">
        <v>43</v>
      </c>
      <c r="E2" s="10" t="s">
        <v>44</v>
      </c>
      <c r="F2" s="10" t="s">
        <v>45</v>
      </c>
      <c r="G2" s="8" t="s">
        <v>46</v>
      </c>
      <c r="H2" s="9" t="s">
        <v>47</v>
      </c>
      <c r="I2" s="9" t="s">
        <v>48</v>
      </c>
      <c r="J2" s="15" t="s">
        <v>49</v>
      </c>
      <c r="K2" s="10" t="s">
        <v>50</v>
      </c>
      <c r="L2" s="14" t="s">
        <v>51</v>
      </c>
      <c r="M2" s="9" t="s">
        <v>176</v>
      </c>
      <c r="N2" s="9" t="s">
        <v>53</v>
      </c>
      <c r="O2" s="9" t="s">
        <v>54</v>
      </c>
      <c r="P2" s="9" t="s">
        <v>55</v>
      </c>
      <c r="Q2" s="9" t="s">
        <v>56</v>
      </c>
      <c r="R2" s="9" t="s">
        <v>57</v>
      </c>
      <c r="S2" s="15" t="s">
        <v>58</v>
      </c>
      <c r="T2" s="10" t="s">
        <v>59</v>
      </c>
      <c r="U2" s="10" t="s">
        <v>60</v>
      </c>
      <c r="V2" s="10" t="s">
        <v>61</v>
      </c>
      <c r="W2" s="52" t="s">
        <v>62</v>
      </c>
      <c r="X2" s="10" t="s">
        <v>63</v>
      </c>
      <c r="Y2" s="10" t="s">
        <v>64</v>
      </c>
      <c r="Z2" s="10" t="s">
        <v>65</v>
      </c>
      <c r="AA2" s="10" t="s">
        <v>66</v>
      </c>
      <c r="AB2" s="10" t="s">
        <v>67</v>
      </c>
      <c r="AC2" s="10" t="s">
        <v>68</v>
      </c>
      <c r="AD2" s="15" t="s">
        <v>69</v>
      </c>
      <c r="AE2" s="10" t="s">
        <v>70</v>
      </c>
      <c r="AF2" s="10" t="s">
        <v>71</v>
      </c>
      <c r="AG2" s="52" t="s">
        <v>72</v>
      </c>
    </row>
    <row r="3" spans="1:37" x14ac:dyDescent="0.35">
      <c r="A3" s="24">
        <v>1</v>
      </c>
      <c r="B3" s="175" t="s">
        <v>73</v>
      </c>
      <c r="C3" s="167" t="s">
        <v>74</v>
      </c>
      <c r="D3" s="169" t="s">
        <v>75</v>
      </c>
      <c r="E3" s="285" t="s">
        <v>44</v>
      </c>
      <c r="F3" s="30">
        <v>43273</v>
      </c>
      <c r="G3" s="41">
        <f t="shared" ref="G3:G37" si="0">EDATE(F3,36)</f>
        <v>44369</v>
      </c>
      <c r="H3" s="39">
        <v>1061.6199999999999</v>
      </c>
      <c r="I3" s="23">
        <v>0.6</v>
      </c>
      <c r="J3" s="23">
        <f t="shared" ref="J3:J39" si="1">1-I3</f>
        <v>0.4</v>
      </c>
      <c r="K3" s="82">
        <f t="shared" ref="K3:K31" si="2">H3*I3</f>
        <v>636.97199999999987</v>
      </c>
      <c r="L3" s="88">
        <v>7.2999999999999995E-2</v>
      </c>
      <c r="M3" s="85">
        <v>0.9</v>
      </c>
      <c r="N3" s="23">
        <v>0.9</v>
      </c>
      <c r="O3" s="23">
        <v>0.9</v>
      </c>
      <c r="P3" s="27">
        <v>3</v>
      </c>
      <c r="Q3" s="22">
        <f t="shared" ref="Q3:Q31" si="3">M3*H3</f>
        <v>955.45799999999997</v>
      </c>
      <c r="R3" s="22">
        <v>1056.74</v>
      </c>
      <c r="S3" s="91">
        <f t="shared" ref="S3:S31" si="4">R3/H3</f>
        <v>0.99540325163429488</v>
      </c>
      <c r="T3" s="151">
        <f t="shared" ref="T3:T31" si="5">L3*3</f>
        <v>0.21899999999999997</v>
      </c>
      <c r="U3" s="118">
        <f>T3/3</f>
        <v>7.2999999999999995E-2</v>
      </c>
      <c r="V3" s="152">
        <f>(((1+(U3*P3))/1)^(1/P3)-1)</f>
        <v>6.8237702331613859E-2</v>
      </c>
      <c r="W3" s="31">
        <v>0</v>
      </c>
      <c r="X3" s="54">
        <f t="shared" ref="X3:X31" si="6">IF(T3&gt;0,1,R3/H3)</f>
        <v>1</v>
      </c>
      <c r="Y3" s="32">
        <v>0</v>
      </c>
      <c r="Z3" s="54" t="s">
        <v>76</v>
      </c>
      <c r="AA3" s="97">
        <v>2.8000000000000001E-2</v>
      </c>
      <c r="AB3" s="103">
        <f t="shared" ref="AB3:AB37" si="7">T3-AA3</f>
        <v>0.19099999999999998</v>
      </c>
      <c r="AC3" s="105">
        <f t="shared" ref="AC3:AC37" si="8">(((1+AB3)/1)^(1/3)-1)</f>
        <v>5.9995253331064369E-2</v>
      </c>
      <c r="AD3" s="100">
        <f t="shared" ref="AD3:AD38" si="9">S3-M3</f>
        <v>9.5403251634294861E-2</v>
      </c>
      <c r="AE3" s="49">
        <f t="shared" ref="AE3:AE37" si="10">S3-O3</f>
        <v>9.5403251634294861E-2</v>
      </c>
      <c r="AF3" s="51">
        <f t="shared" ref="AF3:AF33" si="11">T3/P3*10</f>
        <v>0.73</v>
      </c>
      <c r="AG3" s="34">
        <f t="shared" ref="AG3:AG37" si="12">S3-I3</f>
        <v>0.39540325163429491</v>
      </c>
      <c r="AI3" s="57">
        <f t="shared" ref="AI3:AI10" si="13">N3</f>
        <v>0.9</v>
      </c>
    </row>
    <row r="4" spans="1:37" x14ac:dyDescent="0.35">
      <c r="A4" s="25">
        <v>2</v>
      </c>
      <c r="B4" s="175" t="s">
        <v>77</v>
      </c>
      <c r="C4" s="167" t="s">
        <v>74</v>
      </c>
      <c r="D4" s="169" t="s">
        <v>75</v>
      </c>
      <c r="E4" s="285" t="s">
        <v>44</v>
      </c>
      <c r="F4" s="36">
        <v>43336</v>
      </c>
      <c r="G4" s="42">
        <f t="shared" si="0"/>
        <v>44432</v>
      </c>
      <c r="H4" s="40">
        <v>1042.0999999999999</v>
      </c>
      <c r="I4" s="1">
        <v>0.6</v>
      </c>
      <c r="J4" s="3">
        <f t="shared" si="1"/>
        <v>0.4</v>
      </c>
      <c r="K4" s="83">
        <f t="shared" si="2"/>
        <v>625.25999999999988</v>
      </c>
      <c r="L4" s="89">
        <v>7.2999999999999995E-2</v>
      </c>
      <c r="M4" s="86">
        <v>0.9</v>
      </c>
      <c r="N4" s="3">
        <v>0.9</v>
      </c>
      <c r="O4" s="3">
        <v>0.9</v>
      </c>
      <c r="P4" s="28">
        <v>3</v>
      </c>
      <c r="Q4" s="5">
        <f t="shared" si="3"/>
        <v>937.89</v>
      </c>
      <c r="R4" s="5">
        <v>1073.75</v>
      </c>
      <c r="S4" s="92">
        <f t="shared" si="4"/>
        <v>1.0303713655119471</v>
      </c>
      <c r="T4" s="150">
        <f t="shared" si="5"/>
        <v>0.21899999999999997</v>
      </c>
      <c r="U4" s="149">
        <f t="shared" ref="U4:U31" si="14">T4/3</f>
        <v>7.2999999999999995E-2</v>
      </c>
      <c r="V4" s="71">
        <f t="shared" ref="V4:V31" si="15">(((1+(U4*P4))/1)^(1/P4)-1)</f>
        <v>6.8237702331613859E-2</v>
      </c>
      <c r="W4" s="95">
        <v>0</v>
      </c>
      <c r="X4" s="32">
        <f t="shared" si="6"/>
        <v>1</v>
      </c>
      <c r="Y4" s="32">
        <v>0</v>
      </c>
      <c r="Z4" s="54" t="s">
        <v>76</v>
      </c>
      <c r="AA4" s="98">
        <v>4.7199999999999999E-2</v>
      </c>
      <c r="AB4" s="104">
        <f t="shared" si="7"/>
        <v>0.17179999999999998</v>
      </c>
      <c r="AC4" s="106">
        <f t="shared" si="8"/>
        <v>5.426833960960864E-2</v>
      </c>
      <c r="AD4" s="101">
        <f t="shared" si="9"/>
        <v>0.13037136551194706</v>
      </c>
      <c r="AE4" s="50">
        <f t="shared" si="10"/>
        <v>0.13037136551194706</v>
      </c>
      <c r="AF4" s="51">
        <f t="shared" si="11"/>
        <v>0.73</v>
      </c>
      <c r="AG4" s="35">
        <f t="shared" si="12"/>
        <v>0.4303713655119471</v>
      </c>
      <c r="AI4" s="57">
        <f t="shared" si="13"/>
        <v>0.9</v>
      </c>
    </row>
    <row r="5" spans="1:37" x14ac:dyDescent="0.35">
      <c r="A5" s="25">
        <v>3</v>
      </c>
      <c r="B5" s="175" t="s">
        <v>78</v>
      </c>
      <c r="C5" s="167" t="s">
        <v>74</v>
      </c>
      <c r="D5" s="169" t="s">
        <v>75</v>
      </c>
      <c r="E5" s="285" t="s">
        <v>44</v>
      </c>
      <c r="F5" s="36">
        <v>43336</v>
      </c>
      <c r="G5" s="42">
        <f t="shared" si="0"/>
        <v>44432</v>
      </c>
      <c r="H5" s="40">
        <v>1042.0999999999999</v>
      </c>
      <c r="I5" s="1">
        <v>0.6</v>
      </c>
      <c r="J5" s="3">
        <f t="shared" si="1"/>
        <v>0.4</v>
      </c>
      <c r="K5" s="83">
        <f t="shared" si="2"/>
        <v>625.25999999999988</v>
      </c>
      <c r="L5" s="89">
        <v>6.8500000000000005E-2</v>
      </c>
      <c r="M5" s="86">
        <v>1</v>
      </c>
      <c r="N5" s="1" t="s">
        <v>79</v>
      </c>
      <c r="O5" s="3">
        <v>0.65</v>
      </c>
      <c r="P5" s="28">
        <v>3</v>
      </c>
      <c r="Q5" s="5">
        <f t="shared" si="3"/>
        <v>1042.0999999999999</v>
      </c>
      <c r="R5" s="5">
        <v>1073.75</v>
      </c>
      <c r="S5" s="92">
        <f t="shared" si="4"/>
        <v>1.0303713655119471</v>
      </c>
      <c r="T5" s="150">
        <f t="shared" si="5"/>
        <v>0.20550000000000002</v>
      </c>
      <c r="U5" s="149">
        <f t="shared" si="14"/>
        <v>6.8500000000000005E-2</v>
      </c>
      <c r="V5" s="71">
        <f t="shared" si="15"/>
        <v>6.4279601269848774E-2</v>
      </c>
      <c r="W5" s="95">
        <v>0</v>
      </c>
      <c r="X5" s="32">
        <f t="shared" si="6"/>
        <v>1</v>
      </c>
      <c r="Y5" s="32">
        <v>0</v>
      </c>
      <c r="Z5" s="54" t="s">
        <v>76</v>
      </c>
      <c r="AA5" s="98">
        <v>4.7199999999999999E-2</v>
      </c>
      <c r="AB5" s="104">
        <f t="shared" si="7"/>
        <v>0.15830000000000002</v>
      </c>
      <c r="AC5" s="106">
        <f t="shared" si="8"/>
        <v>5.0204041979485359E-2</v>
      </c>
      <c r="AD5" s="101">
        <f t="shared" si="9"/>
        <v>3.0371365511947079E-2</v>
      </c>
      <c r="AE5" s="50">
        <f t="shared" si="10"/>
        <v>0.38037136551194706</v>
      </c>
      <c r="AF5" s="51">
        <f t="shared" si="11"/>
        <v>0.68500000000000005</v>
      </c>
      <c r="AG5" s="35">
        <f t="shared" si="12"/>
        <v>0.4303713655119471</v>
      </c>
      <c r="AI5" s="58">
        <f>(8-0.05*28)/8</f>
        <v>0.82499999999999996</v>
      </c>
      <c r="AK5" s="57"/>
    </row>
    <row r="6" spans="1:37" x14ac:dyDescent="0.35">
      <c r="A6" s="25">
        <v>4</v>
      </c>
      <c r="B6" s="175" t="s">
        <v>80</v>
      </c>
      <c r="C6" s="167" t="s">
        <v>74</v>
      </c>
      <c r="D6" s="169" t="s">
        <v>75</v>
      </c>
      <c r="E6" s="285" t="s">
        <v>44</v>
      </c>
      <c r="F6" s="37">
        <v>43336</v>
      </c>
      <c r="G6" s="42">
        <f t="shared" si="0"/>
        <v>44432</v>
      </c>
      <c r="H6" s="40">
        <v>1042.0999999999999</v>
      </c>
      <c r="I6" s="1">
        <v>0.6</v>
      </c>
      <c r="J6" s="3">
        <f t="shared" si="1"/>
        <v>0.4</v>
      </c>
      <c r="K6" s="83">
        <f t="shared" si="2"/>
        <v>625.25999999999988</v>
      </c>
      <c r="L6" s="89">
        <v>0.1075</v>
      </c>
      <c r="M6" s="86">
        <v>1</v>
      </c>
      <c r="N6" s="3">
        <v>1</v>
      </c>
      <c r="O6" s="3">
        <v>1</v>
      </c>
      <c r="P6" s="28">
        <v>3</v>
      </c>
      <c r="Q6" s="5">
        <f t="shared" si="3"/>
        <v>1042.0999999999999</v>
      </c>
      <c r="R6" s="5">
        <v>1073.75</v>
      </c>
      <c r="S6" s="92">
        <f t="shared" si="4"/>
        <v>1.0303713655119471</v>
      </c>
      <c r="T6" s="150">
        <f t="shared" si="5"/>
        <v>0.32250000000000001</v>
      </c>
      <c r="U6" s="149">
        <f t="shared" si="14"/>
        <v>0.1075</v>
      </c>
      <c r="V6" s="71">
        <f t="shared" si="15"/>
        <v>9.7653399825005982E-2</v>
      </c>
      <c r="W6" s="53">
        <v>0</v>
      </c>
      <c r="X6" s="53">
        <f t="shared" si="6"/>
        <v>1</v>
      </c>
      <c r="Y6" s="32">
        <v>0</v>
      </c>
      <c r="Z6" s="54" t="s">
        <v>76</v>
      </c>
      <c r="AA6" s="98">
        <v>4.7199999999999999E-2</v>
      </c>
      <c r="AB6" s="104">
        <f t="shared" si="7"/>
        <v>0.27529999999999999</v>
      </c>
      <c r="AC6" s="106">
        <f t="shared" si="8"/>
        <v>8.4436483127574347E-2</v>
      </c>
      <c r="AD6" s="101">
        <f t="shared" si="9"/>
        <v>3.0371365511947079E-2</v>
      </c>
      <c r="AE6" s="50">
        <f t="shared" si="10"/>
        <v>3.0371365511947079E-2</v>
      </c>
      <c r="AF6" s="51">
        <f t="shared" si="11"/>
        <v>1.075</v>
      </c>
      <c r="AG6" s="35">
        <f t="shared" si="12"/>
        <v>0.4303713655119471</v>
      </c>
      <c r="AI6" s="57">
        <f t="shared" si="13"/>
        <v>1</v>
      </c>
    </row>
    <row r="7" spans="1:37" x14ac:dyDescent="0.35">
      <c r="A7" s="25">
        <v>5</v>
      </c>
      <c r="B7" s="176" t="s">
        <v>81</v>
      </c>
      <c r="C7" s="167" t="s">
        <v>74</v>
      </c>
      <c r="D7" s="169" t="s">
        <v>75</v>
      </c>
      <c r="E7" s="285" t="s">
        <v>44</v>
      </c>
      <c r="F7" s="36">
        <v>43399</v>
      </c>
      <c r="G7" s="42">
        <f t="shared" si="0"/>
        <v>44495</v>
      </c>
      <c r="H7" s="40">
        <v>929.79</v>
      </c>
      <c r="I7" s="1">
        <v>0.6</v>
      </c>
      <c r="J7" s="3">
        <f t="shared" si="1"/>
        <v>0.4</v>
      </c>
      <c r="K7" s="83">
        <f t="shared" si="2"/>
        <v>557.87399999999991</v>
      </c>
      <c r="L7" s="89">
        <v>7.3999999999999996E-2</v>
      </c>
      <c r="M7" s="86">
        <v>0.9</v>
      </c>
      <c r="N7" s="3">
        <v>0.9</v>
      </c>
      <c r="O7" s="3">
        <v>0.9</v>
      </c>
      <c r="P7" s="28">
        <v>3</v>
      </c>
      <c r="Q7" s="5">
        <f t="shared" si="3"/>
        <v>836.81100000000004</v>
      </c>
      <c r="R7" s="5">
        <v>1061.6300000000001</v>
      </c>
      <c r="S7" s="92">
        <f t="shared" si="4"/>
        <v>1.1417954591897097</v>
      </c>
      <c r="T7" s="150">
        <f t="shared" si="5"/>
        <v>0.22199999999999998</v>
      </c>
      <c r="U7" s="149">
        <f t="shared" si="14"/>
        <v>7.3999999999999996E-2</v>
      </c>
      <c r="V7" s="71">
        <f t="shared" si="15"/>
        <v>6.9113307397686619E-2</v>
      </c>
      <c r="W7" s="95">
        <v>0</v>
      </c>
      <c r="X7" s="32">
        <f t="shared" si="6"/>
        <v>1</v>
      </c>
      <c r="Y7" s="32">
        <v>0</v>
      </c>
      <c r="Z7" s="54" t="s">
        <v>76</v>
      </c>
      <c r="AA7" s="98">
        <v>0.1741</v>
      </c>
      <c r="AB7" s="104">
        <f t="shared" si="7"/>
        <v>4.789999999999997E-2</v>
      </c>
      <c r="AC7" s="106">
        <f t="shared" si="8"/>
        <v>1.5718307009334964E-2</v>
      </c>
      <c r="AD7" s="101">
        <f t="shared" si="9"/>
        <v>0.24179545918970968</v>
      </c>
      <c r="AE7" s="50">
        <f t="shared" si="10"/>
        <v>0.24179545918970968</v>
      </c>
      <c r="AF7" s="51">
        <f t="shared" si="11"/>
        <v>0.74</v>
      </c>
      <c r="AG7" s="35">
        <f t="shared" si="12"/>
        <v>0.54179545918970973</v>
      </c>
      <c r="AI7" s="57">
        <f t="shared" si="13"/>
        <v>0.9</v>
      </c>
    </row>
    <row r="8" spans="1:37" x14ac:dyDescent="0.35">
      <c r="A8" s="25">
        <v>6</v>
      </c>
      <c r="B8" s="175" t="s">
        <v>82</v>
      </c>
      <c r="C8" s="167" t="s">
        <v>74</v>
      </c>
      <c r="D8" s="169" t="s">
        <v>75</v>
      </c>
      <c r="E8" s="285" t="s">
        <v>44</v>
      </c>
      <c r="F8" s="36">
        <v>43399</v>
      </c>
      <c r="G8" s="42">
        <f>EDATE(F8,36)</f>
        <v>44495</v>
      </c>
      <c r="H8" s="40">
        <v>929.79</v>
      </c>
      <c r="I8" s="1">
        <v>0.6</v>
      </c>
      <c r="J8" s="3">
        <f t="shared" si="1"/>
        <v>0.4</v>
      </c>
      <c r="K8" s="83">
        <f t="shared" si="2"/>
        <v>557.87399999999991</v>
      </c>
      <c r="L8" s="89">
        <v>6.8500000000000005E-2</v>
      </c>
      <c r="M8" s="86">
        <v>1</v>
      </c>
      <c r="N8" s="1" t="s">
        <v>79</v>
      </c>
      <c r="O8" s="3">
        <v>0.65</v>
      </c>
      <c r="P8" s="28">
        <v>3</v>
      </c>
      <c r="Q8" s="5">
        <f t="shared" si="3"/>
        <v>929.79</v>
      </c>
      <c r="R8" s="5">
        <v>1061.6300000000001</v>
      </c>
      <c r="S8" s="92">
        <f t="shared" si="4"/>
        <v>1.1417954591897097</v>
      </c>
      <c r="T8" s="150">
        <f t="shared" si="5"/>
        <v>0.20550000000000002</v>
      </c>
      <c r="U8" s="149">
        <f t="shared" si="14"/>
        <v>6.8500000000000005E-2</v>
      </c>
      <c r="V8" s="71">
        <f t="shared" si="15"/>
        <v>6.4279601269848774E-2</v>
      </c>
      <c r="W8" s="95">
        <v>0</v>
      </c>
      <c r="X8" s="32">
        <f t="shared" si="6"/>
        <v>1</v>
      </c>
      <c r="Y8" s="32">
        <v>0</v>
      </c>
      <c r="Z8" s="54" t="s">
        <v>76</v>
      </c>
      <c r="AA8" s="98">
        <v>0.1741</v>
      </c>
      <c r="AB8" s="104">
        <f t="shared" si="7"/>
        <v>3.1400000000000011E-2</v>
      </c>
      <c r="AC8" s="106">
        <f t="shared" si="8"/>
        <v>1.0358987508245043E-2</v>
      </c>
      <c r="AD8" s="101">
        <f t="shared" si="9"/>
        <v>0.1417954591897097</v>
      </c>
      <c r="AE8" s="50">
        <f t="shared" si="10"/>
        <v>0.49179545918970968</v>
      </c>
      <c r="AF8" s="51">
        <f t="shared" si="11"/>
        <v>0.68500000000000005</v>
      </c>
      <c r="AG8" s="35">
        <f t="shared" si="12"/>
        <v>0.54179545918970973</v>
      </c>
      <c r="AI8" s="58">
        <f>(8-0.05*28)/8</f>
        <v>0.82499999999999996</v>
      </c>
      <c r="AK8" s="57"/>
    </row>
    <row r="9" spans="1:37" x14ac:dyDescent="0.35">
      <c r="A9" s="25">
        <v>7</v>
      </c>
      <c r="B9" s="175" t="s">
        <v>83</v>
      </c>
      <c r="C9" s="167" t="s">
        <v>74</v>
      </c>
      <c r="D9" s="169" t="s">
        <v>75</v>
      </c>
      <c r="E9" s="285" t="s">
        <v>44</v>
      </c>
      <c r="F9" s="36">
        <v>43399</v>
      </c>
      <c r="G9" s="42">
        <f t="shared" si="0"/>
        <v>44495</v>
      </c>
      <c r="H9" s="40">
        <v>929.79</v>
      </c>
      <c r="I9" s="1">
        <v>0.6</v>
      </c>
      <c r="J9" s="3">
        <f t="shared" si="1"/>
        <v>0.4</v>
      </c>
      <c r="K9" s="83">
        <f t="shared" si="2"/>
        <v>557.87399999999991</v>
      </c>
      <c r="L9" s="89">
        <v>0.111</v>
      </c>
      <c r="M9" s="86">
        <v>1</v>
      </c>
      <c r="N9" s="3">
        <v>1</v>
      </c>
      <c r="O9" s="3">
        <v>1</v>
      </c>
      <c r="P9" s="28">
        <v>3</v>
      </c>
      <c r="Q9" s="5">
        <f t="shared" si="3"/>
        <v>929.79</v>
      </c>
      <c r="R9" s="5">
        <v>1061.6300000000001</v>
      </c>
      <c r="S9" s="92">
        <f t="shared" si="4"/>
        <v>1.1417954591897097</v>
      </c>
      <c r="T9" s="150">
        <f t="shared" si="5"/>
        <v>0.33300000000000002</v>
      </c>
      <c r="U9" s="149">
        <f t="shared" si="14"/>
        <v>0.111</v>
      </c>
      <c r="V9" s="71">
        <f t="shared" si="15"/>
        <v>0.10055068845243875</v>
      </c>
      <c r="W9" s="95">
        <v>0</v>
      </c>
      <c r="X9" s="32">
        <f t="shared" si="6"/>
        <v>1</v>
      </c>
      <c r="Y9" s="32">
        <v>0</v>
      </c>
      <c r="Z9" s="54" t="s">
        <v>76</v>
      </c>
      <c r="AA9" s="98">
        <v>0.1741</v>
      </c>
      <c r="AB9" s="104">
        <f t="shared" si="7"/>
        <v>0.15890000000000001</v>
      </c>
      <c r="AC9" s="106">
        <f t="shared" si="8"/>
        <v>5.0385346090463967E-2</v>
      </c>
      <c r="AD9" s="101">
        <f t="shared" si="9"/>
        <v>0.1417954591897097</v>
      </c>
      <c r="AE9" s="50">
        <f t="shared" si="10"/>
        <v>0.1417954591897097</v>
      </c>
      <c r="AF9" s="51">
        <f t="shared" si="11"/>
        <v>1.1100000000000001</v>
      </c>
      <c r="AG9" s="35">
        <f t="shared" si="12"/>
        <v>0.54179545918970973</v>
      </c>
      <c r="AI9" s="57">
        <f t="shared" si="13"/>
        <v>1</v>
      </c>
    </row>
    <row r="10" spans="1:37" x14ac:dyDescent="0.35">
      <c r="A10" s="25">
        <v>8</v>
      </c>
      <c r="B10" s="176" t="s">
        <v>84</v>
      </c>
      <c r="C10" s="167" t="s">
        <v>74</v>
      </c>
      <c r="D10" s="169" t="s">
        <v>75</v>
      </c>
      <c r="E10" s="285" t="s">
        <v>44</v>
      </c>
      <c r="F10" s="36">
        <v>43463</v>
      </c>
      <c r="G10" s="42">
        <f t="shared" si="0"/>
        <v>44559</v>
      </c>
      <c r="H10" s="40">
        <v>895.37</v>
      </c>
      <c r="I10" s="1">
        <v>0.6</v>
      </c>
      <c r="J10" s="3">
        <f t="shared" si="1"/>
        <v>0.4</v>
      </c>
      <c r="K10" s="83">
        <f t="shared" si="2"/>
        <v>537.22199999999998</v>
      </c>
      <c r="L10" s="89">
        <v>8.5000000000000006E-2</v>
      </c>
      <c r="M10" s="86">
        <v>0.9</v>
      </c>
      <c r="N10" s="3">
        <v>0.9</v>
      </c>
      <c r="O10" s="3">
        <v>0.9</v>
      </c>
      <c r="P10" s="28">
        <v>3</v>
      </c>
      <c r="Q10" s="5">
        <f t="shared" si="3"/>
        <v>805.83299999999997</v>
      </c>
      <c r="R10" s="5">
        <v>1076.1500000000001</v>
      </c>
      <c r="S10" s="92">
        <f t="shared" si="4"/>
        <v>1.2019053575616785</v>
      </c>
      <c r="T10" s="150">
        <f t="shared" si="5"/>
        <v>0.255</v>
      </c>
      <c r="U10" s="149">
        <f t="shared" si="14"/>
        <v>8.5000000000000006E-2</v>
      </c>
      <c r="V10" s="71">
        <f t="shared" si="15"/>
        <v>7.8651724000596834E-2</v>
      </c>
      <c r="W10" s="95">
        <v>0</v>
      </c>
      <c r="X10" s="32">
        <f t="shared" si="6"/>
        <v>1</v>
      </c>
      <c r="Y10" s="32">
        <v>0</v>
      </c>
      <c r="Z10" s="54" t="s">
        <v>76</v>
      </c>
      <c r="AA10" s="98">
        <v>0.23180000000000001</v>
      </c>
      <c r="AB10" s="104">
        <f t="shared" si="7"/>
        <v>2.3199999999999998E-2</v>
      </c>
      <c r="AC10" s="106">
        <f t="shared" si="8"/>
        <v>7.674287979061889E-3</v>
      </c>
      <c r="AD10" s="101">
        <f t="shared" si="9"/>
        <v>0.30190535756167847</v>
      </c>
      <c r="AE10" s="50">
        <f t="shared" si="10"/>
        <v>0.30190535756167847</v>
      </c>
      <c r="AF10" s="51">
        <f t="shared" si="11"/>
        <v>0.85000000000000009</v>
      </c>
      <c r="AG10" s="35">
        <f t="shared" si="12"/>
        <v>0.60190535756167851</v>
      </c>
      <c r="AI10" s="57">
        <f t="shared" si="13"/>
        <v>0.9</v>
      </c>
    </row>
    <row r="11" spans="1:37" x14ac:dyDescent="0.35">
      <c r="A11" s="25">
        <v>9</v>
      </c>
      <c r="B11" s="175" t="s">
        <v>85</v>
      </c>
      <c r="C11" s="167" t="s">
        <v>74</v>
      </c>
      <c r="D11" s="169" t="s">
        <v>75</v>
      </c>
      <c r="E11" s="285" t="s">
        <v>44</v>
      </c>
      <c r="F11" s="36">
        <v>43463</v>
      </c>
      <c r="G11" s="42">
        <f t="shared" si="0"/>
        <v>44559</v>
      </c>
      <c r="H11" s="40">
        <v>895.37</v>
      </c>
      <c r="I11" s="1">
        <v>0.6</v>
      </c>
      <c r="J11" s="3">
        <f t="shared" si="1"/>
        <v>0.4</v>
      </c>
      <c r="K11" s="83">
        <f t="shared" si="2"/>
        <v>537.22199999999998</v>
      </c>
      <c r="L11" s="89">
        <v>7.7499999999999999E-2</v>
      </c>
      <c r="M11" s="86">
        <v>1</v>
      </c>
      <c r="N11" s="1" t="s">
        <v>79</v>
      </c>
      <c r="O11" s="3">
        <v>0.65</v>
      </c>
      <c r="P11" s="28">
        <v>3</v>
      </c>
      <c r="Q11" s="5">
        <f t="shared" si="3"/>
        <v>895.37</v>
      </c>
      <c r="R11" s="5">
        <v>1076.1500000000001</v>
      </c>
      <c r="S11" s="92">
        <f t="shared" si="4"/>
        <v>1.2019053575616785</v>
      </c>
      <c r="T11" s="150">
        <f t="shared" si="5"/>
        <v>0.23249999999999998</v>
      </c>
      <c r="U11" s="149">
        <f t="shared" si="14"/>
        <v>7.7499999999999999E-2</v>
      </c>
      <c r="V11" s="71">
        <f t="shared" si="15"/>
        <v>7.2166687156587805E-2</v>
      </c>
      <c r="W11" s="95">
        <v>0</v>
      </c>
      <c r="X11" s="32">
        <f t="shared" si="6"/>
        <v>1</v>
      </c>
      <c r="Y11" s="32">
        <v>0</v>
      </c>
      <c r="Z11" s="54" t="s">
        <v>76</v>
      </c>
      <c r="AA11" s="98">
        <v>0.23180000000000001</v>
      </c>
      <c r="AB11" s="104">
        <f t="shared" si="7"/>
        <v>6.9999999999997842E-4</v>
      </c>
      <c r="AC11" s="106">
        <f t="shared" si="8"/>
        <v>2.3327891005187062E-4</v>
      </c>
      <c r="AD11" s="101">
        <f t="shared" si="9"/>
        <v>0.20190535756167849</v>
      </c>
      <c r="AE11" s="50">
        <f t="shared" si="10"/>
        <v>0.55190535756167847</v>
      </c>
      <c r="AF11" s="51">
        <f t="shared" si="11"/>
        <v>0.77500000000000002</v>
      </c>
      <c r="AG11" s="35">
        <f t="shared" si="12"/>
        <v>0.60190535756167851</v>
      </c>
      <c r="AI11" s="58">
        <f>(8-0.05*28)/8</f>
        <v>0.82499999999999996</v>
      </c>
      <c r="AK11" s="57"/>
    </row>
    <row r="12" spans="1:37" x14ac:dyDescent="0.35">
      <c r="A12" s="25">
        <v>10</v>
      </c>
      <c r="B12" s="175" t="s">
        <v>86</v>
      </c>
      <c r="C12" s="167" t="s">
        <v>74</v>
      </c>
      <c r="D12" s="169" t="s">
        <v>75</v>
      </c>
      <c r="E12" s="285" t="s">
        <v>44</v>
      </c>
      <c r="F12" s="36">
        <v>43463</v>
      </c>
      <c r="G12" s="42">
        <f t="shared" si="0"/>
        <v>44559</v>
      </c>
      <c r="H12" s="40">
        <v>895.37</v>
      </c>
      <c r="I12" s="1">
        <v>0.6</v>
      </c>
      <c r="J12" s="3">
        <f t="shared" si="1"/>
        <v>0.4</v>
      </c>
      <c r="K12" s="83">
        <f t="shared" si="2"/>
        <v>537.22199999999998</v>
      </c>
      <c r="L12" s="89">
        <v>0.1275</v>
      </c>
      <c r="M12" s="86">
        <v>1</v>
      </c>
      <c r="N12" s="3">
        <v>1</v>
      </c>
      <c r="O12" s="3">
        <v>1</v>
      </c>
      <c r="P12" s="28">
        <v>3</v>
      </c>
      <c r="Q12" s="5">
        <f t="shared" si="3"/>
        <v>895.37</v>
      </c>
      <c r="R12" s="5">
        <v>1076.1500000000001</v>
      </c>
      <c r="S12" s="92">
        <f t="shared" si="4"/>
        <v>1.2019053575616785</v>
      </c>
      <c r="T12" s="150">
        <f t="shared" si="5"/>
        <v>0.38250000000000001</v>
      </c>
      <c r="U12" s="149">
        <f t="shared" si="14"/>
        <v>0.1275</v>
      </c>
      <c r="V12" s="71">
        <f t="shared" si="15"/>
        <v>0.11400818046589256</v>
      </c>
      <c r="W12" s="95">
        <v>0</v>
      </c>
      <c r="X12" s="32">
        <f t="shared" si="6"/>
        <v>1</v>
      </c>
      <c r="Y12" s="32">
        <v>0</v>
      </c>
      <c r="Z12" s="54" t="s">
        <v>76</v>
      </c>
      <c r="AA12" s="98">
        <v>0.23180000000000001</v>
      </c>
      <c r="AB12" s="104">
        <f t="shared" si="7"/>
        <v>0.1507</v>
      </c>
      <c r="AC12" s="106">
        <f t="shared" si="8"/>
        <v>4.7902084747077689E-2</v>
      </c>
      <c r="AD12" s="101">
        <f t="shared" si="9"/>
        <v>0.20190535756167849</v>
      </c>
      <c r="AE12" s="50">
        <f t="shared" si="10"/>
        <v>0.20190535756167849</v>
      </c>
      <c r="AF12" s="51">
        <f t="shared" si="11"/>
        <v>1.2749999999999999</v>
      </c>
      <c r="AG12" s="35">
        <f t="shared" si="12"/>
        <v>0.60190535756167851</v>
      </c>
      <c r="AI12" s="57">
        <f>N12</f>
        <v>1</v>
      </c>
    </row>
    <row r="13" spans="1:37" x14ac:dyDescent="0.35">
      <c r="A13" s="25">
        <v>11</v>
      </c>
      <c r="B13" s="176" t="s">
        <v>87</v>
      </c>
      <c r="C13" s="167" t="s">
        <v>74</v>
      </c>
      <c r="D13" s="169" t="s">
        <v>75</v>
      </c>
      <c r="E13" s="285" t="s">
        <v>44</v>
      </c>
      <c r="F13" s="36">
        <v>43518</v>
      </c>
      <c r="G13" s="42">
        <f t="shared" si="0"/>
        <v>44614</v>
      </c>
      <c r="H13" s="40">
        <v>968.05</v>
      </c>
      <c r="I13" s="1">
        <v>0.6</v>
      </c>
      <c r="J13" s="3">
        <f t="shared" si="1"/>
        <v>0.4</v>
      </c>
      <c r="K13" s="83">
        <f t="shared" si="2"/>
        <v>580.82999999999993</v>
      </c>
      <c r="L13" s="89">
        <v>9.8500000000000004E-2</v>
      </c>
      <c r="M13" s="86">
        <v>0.9</v>
      </c>
      <c r="N13" s="3">
        <v>0.9</v>
      </c>
      <c r="O13" s="3">
        <v>0.9</v>
      </c>
      <c r="P13" s="28">
        <v>3</v>
      </c>
      <c r="Q13" s="5">
        <f t="shared" si="3"/>
        <v>871.245</v>
      </c>
      <c r="R13" s="5">
        <v>1017.73</v>
      </c>
      <c r="S13" s="92">
        <f t="shared" si="4"/>
        <v>1.0513196632405353</v>
      </c>
      <c r="T13" s="150">
        <f t="shared" si="5"/>
        <v>0.29549999999999998</v>
      </c>
      <c r="U13" s="149">
        <f t="shared" si="14"/>
        <v>9.849999999999999E-2</v>
      </c>
      <c r="V13" s="71">
        <f t="shared" si="15"/>
        <v>9.0132127742020396E-2</v>
      </c>
      <c r="W13" s="95">
        <v>0</v>
      </c>
      <c r="X13" s="32">
        <f t="shared" si="6"/>
        <v>1</v>
      </c>
      <c r="Y13" s="32">
        <v>0</v>
      </c>
      <c r="Z13" s="54" t="s">
        <v>76</v>
      </c>
      <c r="AA13" s="98">
        <v>0.16200000000000001</v>
      </c>
      <c r="AB13" s="104">
        <f t="shared" si="7"/>
        <v>0.13349999999999998</v>
      </c>
      <c r="AC13" s="106">
        <f t="shared" si="8"/>
        <v>4.2654706973433321E-2</v>
      </c>
      <c r="AD13" s="101">
        <f t="shared" si="9"/>
        <v>0.15131966324053525</v>
      </c>
      <c r="AE13" s="50">
        <f t="shared" si="10"/>
        <v>0.15131966324053525</v>
      </c>
      <c r="AF13" s="51">
        <f t="shared" si="11"/>
        <v>0.98499999999999988</v>
      </c>
      <c r="AG13" s="35">
        <f t="shared" si="12"/>
        <v>0.4513196632405353</v>
      </c>
      <c r="AI13" s="57">
        <f t="shared" ref="AI13:AI31" si="16">N13</f>
        <v>0.9</v>
      </c>
    </row>
    <row r="14" spans="1:37" x14ac:dyDescent="0.35">
      <c r="A14" s="25">
        <v>12</v>
      </c>
      <c r="B14" s="175" t="s">
        <v>88</v>
      </c>
      <c r="C14" s="167" t="s">
        <v>74</v>
      </c>
      <c r="D14" s="169" t="s">
        <v>75</v>
      </c>
      <c r="E14" s="285" t="s">
        <v>44</v>
      </c>
      <c r="F14" s="36">
        <v>43518</v>
      </c>
      <c r="G14" s="42">
        <f t="shared" si="0"/>
        <v>44614</v>
      </c>
      <c r="H14" s="40">
        <v>968.05</v>
      </c>
      <c r="I14" s="1">
        <v>0.6</v>
      </c>
      <c r="J14" s="3">
        <f t="shared" si="1"/>
        <v>0.4</v>
      </c>
      <c r="K14" s="83">
        <f t="shared" si="2"/>
        <v>580.82999999999993</v>
      </c>
      <c r="L14" s="89">
        <v>8.7499999999999994E-2</v>
      </c>
      <c r="M14" s="86">
        <v>1</v>
      </c>
      <c r="N14" s="1" t="s">
        <v>79</v>
      </c>
      <c r="O14" s="3">
        <v>0.65</v>
      </c>
      <c r="P14" s="28">
        <v>3</v>
      </c>
      <c r="Q14" s="5">
        <f t="shared" si="3"/>
        <v>968.05</v>
      </c>
      <c r="R14" s="5">
        <v>1017.73</v>
      </c>
      <c r="S14" s="92">
        <f t="shared" si="4"/>
        <v>1.0513196632405353</v>
      </c>
      <c r="T14" s="150">
        <f t="shared" si="5"/>
        <v>0.26249999999999996</v>
      </c>
      <c r="U14" s="149">
        <f t="shared" si="14"/>
        <v>8.7499999999999981E-2</v>
      </c>
      <c r="V14" s="71">
        <f t="shared" si="15"/>
        <v>8.0796166472541397E-2</v>
      </c>
      <c r="W14" s="95">
        <v>0</v>
      </c>
      <c r="X14" s="32">
        <f t="shared" si="6"/>
        <v>1</v>
      </c>
      <c r="Y14" s="32">
        <v>0</v>
      </c>
      <c r="Z14" s="54" t="s">
        <v>76</v>
      </c>
      <c r="AA14" s="98">
        <v>0.16200000000000001</v>
      </c>
      <c r="AB14" s="104">
        <f t="shared" si="7"/>
        <v>0.10049999999999995</v>
      </c>
      <c r="AC14" s="106">
        <f t="shared" si="8"/>
        <v>3.2436497842558421E-2</v>
      </c>
      <c r="AD14" s="101">
        <f t="shared" si="9"/>
        <v>5.1319663240535274E-2</v>
      </c>
      <c r="AE14" s="50">
        <f t="shared" si="10"/>
        <v>0.40131966324053525</v>
      </c>
      <c r="AF14" s="51">
        <f t="shared" si="11"/>
        <v>0.87499999999999978</v>
      </c>
      <c r="AG14" s="35">
        <f t="shared" si="12"/>
        <v>0.4513196632405353</v>
      </c>
      <c r="AI14" s="58">
        <f>(8-0.05*28)/8</f>
        <v>0.82499999999999996</v>
      </c>
      <c r="AK14" s="57"/>
    </row>
    <row r="15" spans="1:37" x14ac:dyDescent="0.35">
      <c r="A15" s="25">
        <v>13</v>
      </c>
      <c r="B15" s="175" t="s">
        <v>89</v>
      </c>
      <c r="C15" s="167" t="s">
        <v>74</v>
      </c>
      <c r="D15" s="169" t="s">
        <v>75</v>
      </c>
      <c r="E15" s="285" t="s">
        <v>44</v>
      </c>
      <c r="F15" s="36">
        <v>43518</v>
      </c>
      <c r="G15" s="42">
        <f t="shared" si="0"/>
        <v>44614</v>
      </c>
      <c r="H15" s="40">
        <v>968.05</v>
      </c>
      <c r="I15" s="1">
        <v>0.6</v>
      </c>
      <c r="J15" s="3">
        <f t="shared" si="1"/>
        <v>0.4</v>
      </c>
      <c r="K15" s="83">
        <f t="shared" si="2"/>
        <v>580.82999999999993</v>
      </c>
      <c r="L15" s="89">
        <v>0.14749999999999999</v>
      </c>
      <c r="M15" s="86">
        <v>1</v>
      </c>
      <c r="N15" s="3">
        <v>1</v>
      </c>
      <c r="O15" s="3">
        <v>1</v>
      </c>
      <c r="P15" s="28">
        <v>3</v>
      </c>
      <c r="Q15" s="5">
        <f t="shared" si="3"/>
        <v>968.05</v>
      </c>
      <c r="R15" s="5">
        <v>1017.73</v>
      </c>
      <c r="S15" s="92">
        <f t="shared" si="4"/>
        <v>1.0513196632405353</v>
      </c>
      <c r="T15" s="150">
        <f t="shared" si="5"/>
        <v>0.4425</v>
      </c>
      <c r="U15" s="149">
        <f t="shared" si="14"/>
        <v>0.14749999999999999</v>
      </c>
      <c r="V15" s="71">
        <f t="shared" si="15"/>
        <v>0.12989635408257461</v>
      </c>
      <c r="W15" s="95">
        <v>0</v>
      </c>
      <c r="X15" s="32">
        <f t="shared" si="6"/>
        <v>1</v>
      </c>
      <c r="Y15" s="32">
        <v>0</v>
      </c>
      <c r="Z15" s="54" t="s">
        <v>76</v>
      </c>
      <c r="AA15" s="98">
        <v>0.16200000000000001</v>
      </c>
      <c r="AB15" s="104">
        <f t="shared" si="7"/>
        <v>0.28049999999999997</v>
      </c>
      <c r="AC15" s="106">
        <f t="shared" si="8"/>
        <v>8.5908404151164852E-2</v>
      </c>
      <c r="AD15" s="101">
        <f t="shared" si="9"/>
        <v>5.1319663240535274E-2</v>
      </c>
      <c r="AE15" s="50">
        <f t="shared" si="10"/>
        <v>5.1319663240535274E-2</v>
      </c>
      <c r="AF15" s="51">
        <f t="shared" si="11"/>
        <v>1.4749999999999999</v>
      </c>
      <c r="AG15" s="35">
        <f t="shared" si="12"/>
        <v>0.4513196632405353</v>
      </c>
      <c r="AI15" s="57">
        <f t="shared" si="16"/>
        <v>1</v>
      </c>
    </row>
    <row r="16" spans="1:37" x14ac:dyDescent="0.35">
      <c r="A16" s="25">
        <v>14</v>
      </c>
      <c r="B16" s="176" t="s">
        <v>90</v>
      </c>
      <c r="C16" s="167" t="s">
        <v>74</v>
      </c>
      <c r="D16" s="169" t="s">
        <v>75</v>
      </c>
      <c r="E16" s="285" t="s">
        <v>44</v>
      </c>
      <c r="F16" s="36">
        <v>43581</v>
      </c>
      <c r="G16" s="42">
        <f t="shared" si="0"/>
        <v>44677</v>
      </c>
      <c r="H16" s="40">
        <v>1014.15</v>
      </c>
      <c r="I16" s="1">
        <v>0.6</v>
      </c>
      <c r="J16" s="3">
        <f t="shared" si="1"/>
        <v>0.4</v>
      </c>
      <c r="K16" s="83">
        <f t="shared" si="2"/>
        <v>608.49</v>
      </c>
      <c r="L16" s="89">
        <v>8.1000000000000003E-2</v>
      </c>
      <c r="M16" s="86">
        <v>0.9</v>
      </c>
      <c r="N16" s="3">
        <v>0.9</v>
      </c>
      <c r="O16" s="3">
        <v>0.9</v>
      </c>
      <c r="P16" s="28">
        <v>3</v>
      </c>
      <c r="Q16" s="5">
        <f t="shared" si="3"/>
        <v>912.73500000000001</v>
      </c>
      <c r="R16" s="5">
        <v>944.42</v>
      </c>
      <c r="S16" s="92">
        <f t="shared" si="4"/>
        <v>0.93124291278410487</v>
      </c>
      <c r="T16" s="150">
        <f t="shared" si="5"/>
        <v>0.24299999999999999</v>
      </c>
      <c r="U16" s="149">
        <f t="shared" si="14"/>
        <v>8.1000000000000003E-2</v>
      </c>
      <c r="V16" s="71">
        <f t="shared" si="15"/>
        <v>7.5202774079908163E-2</v>
      </c>
      <c r="W16" s="95">
        <v>0</v>
      </c>
      <c r="X16" s="32">
        <f t="shared" si="6"/>
        <v>1</v>
      </c>
      <c r="Y16" s="32">
        <v>0</v>
      </c>
      <c r="Z16" s="54" t="s">
        <v>76</v>
      </c>
      <c r="AA16" s="98">
        <v>0.10920000000000001</v>
      </c>
      <c r="AB16" s="104">
        <f t="shared" si="7"/>
        <v>0.13379999999999997</v>
      </c>
      <c r="AC16" s="106">
        <f t="shared" si="8"/>
        <v>4.2746684276925073E-2</v>
      </c>
      <c r="AD16" s="101">
        <f>S16-M16</f>
        <v>3.1242912784104848E-2</v>
      </c>
      <c r="AE16" s="50">
        <f t="shared" si="10"/>
        <v>3.1242912784104848E-2</v>
      </c>
      <c r="AF16" s="51">
        <f t="shared" si="11"/>
        <v>0.81</v>
      </c>
      <c r="AG16" s="35">
        <f t="shared" si="12"/>
        <v>0.33124291278410489</v>
      </c>
      <c r="AI16" s="57">
        <f t="shared" si="16"/>
        <v>0.9</v>
      </c>
    </row>
    <row r="17" spans="1:37" x14ac:dyDescent="0.35">
      <c r="A17" s="25">
        <v>15</v>
      </c>
      <c r="B17" s="176" t="s">
        <v>91</v>
      </c>
      <c r="C17" s="167" t="s">
        <v>74</v>
      </c>
      <c r="D17" s="169" t="s">
        <v>75</v>
      </c>
      <c r="E17" s="285" t="s">
        <v>44</v>
      </c>
      <c r="F17" s="36">
        <v>43644</v>
      </c>
      <c r="G17" s="42">
        <f t="shared" si="0"/>
        <v>44740</v>
      </c>
      <c r="H17" s="40">
        <v>991.63</v>
      </c>
      <c r="I17" s="1">
        <v>0.6</v>
      </c>
      <c r="J17" s="3">
        <f t="shared" si="1"/>
        <v>0.4</v>
      </c>
      <c r="K17" s="83">
        <f t="shared" si="2"/>
        <v>594.97799999999995</v>
      </c>
      <c r="L17" s="89">
        <v>8.2500000000000004E-2</v>
      </c>
      <c r="M17" s="86">
        <v>0.9</v>
      </c>
      <c r="N17" s="3">
        <v>0.9</v>
      </c>
      <c r="O17" s="3">
        <v>0.9</v>
      </c>
      <c r="P17" s="28">
        <v>3</v>
      </c>
      <c r="Q17" s="5">
        <f t="shared" si="3"/>
        <v>892.46699999999998</v>
      </c>
      <c r="R17" s="5">
        <v>897.54</v>
      </c>
      <c r="S17" s="92">
        <f t="shared" si="4"/>
        <v>0.90511581940844865</v>
      </c>
      <c r="T17" s="150">
        <f t="shared" si="5"/>
        <v>0.2475</v>
      </c>
      <c r="U17" s="149">
        <f t="shared" si="14"/>
        <v>8.2500000000000004E-2</v>
      </c>
      <c r="V17" s="71">
        <f t="shared" si="15"/>
        <v>7.6498720823330535E-2</v>
      </c>
      <c r="W17" s="95">
        <v>0</v>
      </c>
      <c r="X17" s="32">
        <f t="shared" si="6"/>
        <v>1</v>
      </c>
      <c r="Y17" s="32">
        <v>0</v>
      </c>
      <c r="Z17" s="54" t="s">
        <v>76</v>
      </c>
      <c r="AA17" s="98">
        <v>9.7199999999999995E-2</v>
      </c>
      <c r="AB17" s="104">
        <f t="shared" si="7"/>
        <v>0.15029999999999999</v>
      </c>
      <c r="AC17" s="106">
        <f t="shared" si="8"/>
        <v>4.7780648690163297E-2</v>
      </c>
      <c r="AD17" s="101">
        <f t="shared" si="9"/>
        <v>5.1158194084486297E-3</v>
      </c>
      <c r="AE17" s="50">
        <f t="shared" si="10"/>
        <v>5.1158194084486297E-3</v>
      </c>
      <c r="AF17" s="51">
        <f t="shared" si="11"/>
        <v>0.82500000000000007</v>
      </c>
      <c r="AG17" s="35">
        <f t="shared" si="12"/>
        <v>0.30511581940844867</v>
      </c>
      <c r="AI17" s="57">
        <f t="shared" si="16"/>
        <v>0.9</v>
      </c>
    </row>
    <row r="18" spans="1:37" x14ac:dyDescent="0.35">
      <c r="A18" s="25">
        <v>16</v>
      </c>
      <c r="B18" s="176" t="s">
        <v>92</v>
      </c>
      <c r="C18" s="167" t="s">
        <v>74</v>
      </c>
      <c r="D18" s="167" t="s">
        <v>93</v>
      </c>
      <c r="E18" s="285" t="s">
        <v>44</v>
      </c>
      <c r="F18" s="36">
        <v>43707</v>
      </c>
      <c r="G18" s="42">
        <f t="shared" si="0"/>
        <v>44803</v>
      </c>
      <c r="H18" s="40">
        <v>964.28</v>
      </c>
      <c r="I18" s="1">
        <v>0.6</v>
      </c>
      <c r="J18" s="3">
        <f t="shared" si="1"/>
        <v>0.4</v>
      </c>
      <c r="K18" s="83">
        <f t="shared" si="2"/>
        <v>578.56799999999998</v>
      </c>
      <c r="L18" s="89">
        <v>9.2499999999999999E-2</v>
      </c>
      <c r="M18" s="86">
        <v>0.9</v>
      </c>
      <c r="N18" s="3">
        <v>0.9</v>
      </c>
      <c r="O18" s="3">
        <v>0.9</v>
      </c>
      <c r="P18" s="28">
        <v>3</v>
      </c>
      <c r="Q18" s="5">
        <f t="shared" si="3"/>
        <v>867.85199999999998</v>
      </c>
      <c r="R18" s="5">
        <v>890.28</v>
      </c>
      <c r="S18" s="92">
        <f t="shared" si="4"/>
        <v>0.92325880449661923</v>
      </c>
      <c r="T18" s="150">
        <f t="shared" si="5"/>
        <v>0.27749999999999997</v>
      </c>
      <c r="U18" s="149">
        <f t="shared" si="14"/>
        <v>9.2499999999999985E-2</v>
      </c>
      <c r="V18" s="71">
        <f t="shared" si="15"/>
        <v>8.5059706342234032E-2</v>
      </c>
      <c r="W18" s="95">
        <v>0</v>
      </c>
      <c r="X18" s="32">
        <f t="shared" si="6"/>
        <v>1</v>
      </c>
      <c r="Y18" s="32">
        <v>0</v>
      </c>
      <c r="Z18" s="54" t="s">
        <v>76</v>
      </c>
      <c r="AA18" s="98">
        <v>0.13009999999999999</v>
      </c>
      <c r="AB18" s="104">
        <f t="shared" si="7"/>
        <v>0.14739999999999998</v>
      </c>
      <c r="AC18" s="106">
        <f t="shared" si="8"/>
        <v>4.6899394248521631E-2</v>
      </c>
      <c r="AD18" s="101">
        <f t="shared" si="9"/>
        <v>2.3258804496619212E-2</v>
      </c>
      <c r="AE18" s="50">
        <f t="shared" si="10"/>
        <v>2.3258804496619212E-2</v>
      </c>
      <c r="AF18" s="51">
        <f t="shared" si="11"/>
        <v>0.92499999999999982</v>
      </c>
      <c r="AG18" s="35">
        <f t="shared" si="12"/>
        <v>0.32325880449661926</v>
      </c>
      <c r="AI18" s="57">
        <f t="shared" si="16"/>
        <v>0.9</v>
      </c>
    </row>
    <row r="19" spans="1:37" x14ac:dyDescent="0.35">
      <c r="A19" s="25">
        <v>17</v>
      </c>
      <c r="B19" s="173" t="s">
        <v>94</v>
      </c>
      <c r="C19" s="167" t="s">
        <v>74</v>
      </c>
      <c r="D19" s="167" t="s">
        <v>93</v>
      </c>
      <c r="E19" s="285" t="s">
        <v>44</v>
      </c>
      <c r="F19" s="36">
        <v>43889</v>
      </c>
      <c r="G19" s="42">
        <f t="shared" si="0"/>
        <v>44985</v>
      </c>
      <c r="H19" s="40">
        <v>919.68</v>
      </c>
      <c r="I19" s="1">
        <v>0.6</v>
      </c>
      <c r="J19" s="3">
        <f t="shared" si="1"/>
        <v>0.4</v>
      </c>
      <c r="K19" s="83">
        <f t="shared" si="2"/>
        <v>551.80799999999999</v>
      </c>
      <c r="L19" s="89">
        <v>8.1000000000000003E-2</v>
      </c>
      <c r="M19" s="86">
        <v>0.9</v>
      </c>
      <c r="N19" s="3">
        <v>0.9</v>
      </c>
      <c r="O19" s="3">
        <v>0.9</v>
      </c>
      <c r="P19" s="28">
        <v>3</v>
      </c>
      <c r="Q19" s="5">
        <f t="shared" si="3"/>
        <v>827.71199999999999</v>
      </c>
      <c r="R19" s="5">
        <v>957.93</v>
      </c>
      <c r="S19" s="92">
        <f t="shared" si="4"/>
        <v>1.0415905532359082</v>
      </c>
      <c r="T19" s="150">
        <f t="shared" si="5"/>
        <v>0.24299999999999999</v>
      </c>
      <c r="U19" s="149">
        <f t="shared" si="14"/>
        <v>8.1000000000000003E-2</v>
      </c>
      <c r="V19" s="71">
        <f t="shared" si="15"/>
        <v>7.5202774079908163E-2</v>
      </c>
      <c r="W19" s="95">
        <v>0</v>
      </c>
      <c r="X19" s="32">
        <f t="shared" si="6"/>
        <v>1</v>
      </c>
      <c r="Y19" s="32">
        <v>0</v>
      </c>
      <c r="Z19" s="54" t="s">
        <v>76</v>
      </c>
      <c r="AA19" s="98">
        <v>0.32919999999999999</v>
      </c>
      <c r="AB19" s="104">
        <f t="shared" si="7"/>
        <v>-8.6199999999999999E-2</v>
      </c>
      <c r="AC19" s="106">
        <f t="shared" si="8"/>
        <v>-2.9600901111752287E-2</v>
      </c>
      <c r="AD19" s="101">
        <f t="shared" si="9"/>
        <v>0.14159055323590819</v>
      </c>
      <c r="AE19" s="50">
        <f t="shared" si="10"/>
        <v>0.14159055323590819</v>
      </c>
      <c r="AF19" s="51">
        <f t="shared" si="11"/>
        <v>0.81</v>
      </c>
      <c r="AG19" s="35">
        <f t="shared" si="12"/>
        <v>0.44159055323590823</v>
      </c>
      <c r="AI19" s="57">
        <f t="shared" si="16"/>
        <v>0.9</v>
      </c>
    </row>
    <row r="20" spans="1:37" x14ac:dyDescent="0.35">
      <c r="A20" s="25">
        <v>18</v>
      </c>
      <c r="B20" s="174" t="s">
        <v>95</v>
      </c>
      <c r="C20" s="167" t="s">
        <v>74</v>
      </c>
      <c r="D20" s="167" t="s">
        <v>93</v>
      </c>
      <c r="E20" s="285" t="s">
        <v>44</v>
      </c>
      <c r="F20" s="36">
        <v>43889</v>
      </c>
      <c r="G20" s="42">
        <f t="shared" si="0"/>
        <v>44985</v>
      </c>
      <c r="H20" s="40">
        <v>919.68</v>
      </c>
      <c r="I20" s="1">
        <v>0.6</v>
      </c>
      <c r="J20" s="3">
        <f t="shared" si="1"/>
        <v>0.4</v>
      </c>
      <c r="K20" s="83">
        <f t="shared" si="2"/>
        <v>551.80799999999999</v>
      </c>
      <c r="L20" s="89">
        <v>7.0000000000000007E-2</v>
      </c>
      <c r="M20" s="86">
        <v>1</v>
      </c>
      <c r="N20" s="1" t="s">
        <v>79</v>
      </c>
      <c r="O20" s="3">
        <v>0.65</v>
      </c>
      <c r="P20" s="28">
        <v>3</v>
      </c>
      <c r="Q20" s="5">
        <f t="shared" si="3"/>
        <v>919.68</v>
      </c>
      <c r="R20" s="5">
        <v>957.93</v>
      </c>
      <c r="S20" s="92">
        <f t="shared" si="4"/>
        <v>1.0415905532359082</v>
      </c>
      <c r="T20" s="150">
        <f t="shared" si="5"/>
        <v>0.21000000000000002</v>
      </c>
      <c r="U20" s="149">
        <f t="shared" si="14"/>
        <v>7.0000000000000007E-2</v>
      </c>
      <c r="V20" s="71">
        <f t="shared" si="15"/>
        <v>6.56022367666107E-2</v>
      </c>
      <c r="W20" s="95">
        <v>0</v>
      </c>
      <c r="X20" s="32">
        <f t="shared" si="6"/>
        <v>1</v>
      </c>
      <c r="Y20" s="32">
        <v>0</v>
      </c>
      <c r="Z20" s="54" t="s">
        <v>76</v>
      </c>
      <c r="AA20" s="98">
        <v>0.32919999999999999</v>
      </c>
      <c r="AB20" s="104">
        <f t="shared" si="7"/>
        <v>-0.11919999999999997</v>
      </c>
      <c r="AC20" s="106">
        <f t="shared" si="8"/>
        <v>-4.142572745747275E-2</v>
      </c>
      <c r="AD20" s="101">
        <f t="shared" si="9"/>
        <v>4.1590553235908212E-2</v>
      </c>
      <c r="AE20" s="50">
        <f t="shared" si="10"/>
        <v>0.39159055323590819</v>
      </c>
      <c r="AF20" s="51">
        <f t="shared" si="11"/>
        <v>0.70000000000000007</v>
      </c>
      <c r="AG20" s="35">
        <f t="shared" si="12"/>
        <v>0.44159055323590823</v>
      </c>
      <c r="AI20" s="59">
        <f>AI14</f>
        <v>0.82499999999999996</v>
      </c>
      <c r="AK20" s="57"/>
    </row>
    <row r="21" spans="1:37" x14ac:dyDescent="0.35">
      <c r="A21" s="25">
        <v>19</v>
      </c>
      <c r="B21" s="175" t="s">
        <v>96</v>
      </c>
      <c r="C21" s="167" t="s">
        <v>74</v>
      </c>
      <c r="D21" s="167" t="s">
        <v>93</v>
      </c>
      <c r="E21" s="285" t="s">
        <v>44</v>
      </c>
      <c r="F21" s="36">
        <v>43889</v>
      </c>
      <c r="G21" s="42">
        <f t="shared" si="0"/>
        <v>44985</v>
      </c>
      <c r="H21" s="40">
        <v>919.68</v>
      </c>
      <c r="I21" s="1">
        <v>0.6</v>
      </c>
      <c r="J21" s="3">
        <f t="shared" si="1"/>
        <v>0.4</v>
      </c>
      <c r="K21" s="83">
        <f t="shared" si="2"/>
        <v>551.80799999999999</v>
      </c>
      <c r="L21" s="89">
        <v>0.124</v>
      </c>
      <c r="M21" s="86">
        <v>1</v>
      </c>
      <c r="N21" s="3">
        <v>1</v>
      </c>
      <c r="O21" s="3">
        <v>1</v>
      </c>
      <c r="P21" s="28">
        <v>3</v>
      </c>
      <c r="Q21" s="5">
        <f t="shared" si="3"/>
        <v>919.68</v>
      </c>
      <c r="R21" s="5">
        <v>957.93</v>
      </c>
      <c r="S21" s="92">
        <f t="shared" si="4"/>
        <v>1.0415905532359082</v>
      </c>
      <c r="T21" s="150">
        <f t="shared" si="5"/>
        <v>0.372</v>
      </c>
      <c r="U21" s="149">
        <f t="shared" si="14"/>
        <v>0.124</v>
      </c>
      <c r="V21" s="71">
        <f t="shared" si="15"/>
        <v>0.11118073637773951</v>
      </c>
      <c r="W21" s="95">
        <v>0</v>
      </c>
      <c r="X21" s="32">
        <f t="shared" si="6"/>
        <v>1</v>
      </c>
      <c r="Y21" s="32">
        <v>0</v>
      </c>
      <c r="Z21" s="54" t="s">
        <v>76</v>
      </c>
      <c r="AA21" s="98">
        <v>0.32919999999999999</v>
      </c>
      <c r="AB21" s="104">
        <f t="shared" si="7"/>
        <v>4.2800000000000005E-2</v>
      </c>
      <c r="AC21" s="106">
        <f t="shared" si="8"/>
        <v>1.4067834667643275E-2</v>
      </c>
      <c r="AD21" s="101">
        <f t="shared" si="9"/>
        <v>4.1590553235908212E-2</v>
      </c>
      <c r="AE21" s="50">
        <f t="shared" si="10"/>
        <v>4.1590553235908212E-2</v>
      </c>
      <c r="AF21" s="51">
        <f t="shared" si="11"/>
        <v>1.24</v>
      </c>
      <c r="AG21" s="35">
        <f t="shared" si="12"/>
        <v>0.44159055323590823</v>
      </c>
      <c r="AI21" s="57">
        <f t="shared" si="16"/>
        <v>1</v>
      </c>
    </row>
    <row r="22" spans="1:37" x14ac:dyDescent="0.35">
      <c r="A22" s="25">
        <v>20</v>
      </c>
      <c r="B22" s="173" t="s">
        <v>97</v>
      </c>
      <c r="C22" s="167" t="s">
        <v>74</v>
      </c>
      <c r="D22" s="167" t="s">
        <v>93</v>
      </c>
      <c r="E22" s="285" t="s">
        <v>44</v>
      </c>
      <c r="F22" s="43">
        <v>43938</v>
      </c>
      <c r="G22" s="42">
        <f t="shared" si="0"/>
        <v>45033</v>
      </c>
      <c r="H22" s="40">
        <v>776.07</v>
      </c>
      <c r="I22" s="1">
        <v>0.6</v>
      </c>
      <c r="J22" s="3">
        <f t="shared" si="1"/>
        <v>0.4</v>
      </c>
      <c r="K22" s="83">
        <f t="shared" si="2"/>
        <v>465.642</v>
      </c>
      <c r="L22" s="89">
        <v>7.0999999999999994E-2</v>
      </c>
      <c r="M22" s="86">
        <v>1</v>
      </c>
      <c r="N22" s="1" t="s">
        <v>79</v>
      </c>
      <c r="O22" s="3">
        <v>0.65</v>
      </c>
      <c r="P22" s="28">
        <v>3</v>
      </c>
      <c r="Q22" s="5">
        <f t="shared" si="3"/>
        <v>776.07</v>
      </c>
      <c r="R22" s="5">
        <v>952.22</v>
      </c>
      <c r="S22" s="92">
        <f t="shared" si="4"/>
        <v>1.2269769479557255</v>
      </c>
      <c r="T22" s="150">
        <f t="shared" si="5"/>
        <v>0.21299999999999997</v>
      </c>
      <c r="U22" s="149">
        <f t="shared" si="14"/>
        <v>7.0999999999999994E-2</v>
      </c>
      <c r="V22" s="71">
        <f t="shared" si="15"/>
        <v>6.6482172952391005E-2</v>
      </c>
      <c r="W22" s="95">
        <v>0</v>
      </c>
      <c r="X22" s="32">
        <f t="shared" si="6"/>
        <v>1</v>
      </c>
      <c r="Y22" s="32">
        <v>0</v>
      </c>
      <c r="Z22" s="54" t="s">
        <v>76</v>
      </c>
      <c r="AA22" s="98">
        <v>0.5111</v>
      </c>
      <c r="AB22" s="104">
        <f t="shared" si="7"/>
        <v>-0.29810000000000003</v>
      </c>
      <c r="AC22" s="106">
        <f t="shared" si="8"/>
        <v>-0.11129338228047936</v>
      </c>
      <c r="AD22" s="101">
        <f t="shared" si="9"/>
        <v>0.22697694795572554</v>
      </c>
      <c r="AE22" s="50">
        <f t="shared" si="10"/>
        <v>0.57697694795572552</v>
      </c>
      <c r="AF22" s="51">
        <f t="shared" si="11"/>
        <v>0.71</v>
      </c>
      <c r="AG22" s="35">
        <f t="shared" si="12"/>
        <v>0.62697694795572556</v>
      </c>
      <c r="AI22" s="60">
        <f>AI14</f>
        <v>0.82499999999999996</v>
      </c>
      <c r="AK22" s="57"/>
    </row>
    <row r="23" spans="1:37" x14ac:dyDescent="0.35">
      <c r="A23" s="25">
        <v>21</v>
      </c>
      <c r="B23" s="174" t="s">
        <v>98</v>
      </c>
      <c r="C23" s="167" t="s">
        <v>74</v>
      </c>
      <c r="D23" s="167" t="s">
        <v>93</v>
      </c>
      <c r="E23" s="286" t="s">
        <v>44</v>
      </c>
      <c r="F23" s="43">
        <v>43938</v>
      </c>
      <c r="G23" s="42">
        <f t="shared" si="0"/>
        <v>45033</v>
      </c>
      <c r="H23" s="40">
        <v>776.07</v>
      </c>
      <c r="I23" s="1">
        <v>0.6</v>
      </c>
      <c r="J23" s="3">
        <f t="shared" si="1"/>
        <v>0.4</v>
      </c>
      <c r="K23" s="83">
        <f t="shared" si="2"/>
        <v>465.642</v>
      </c>
      <c r="L23" s="89">
        <v>8.2000000000000003E-2</v>
      </c>
      <c r="M23" s="86">
        <v>0.9</v>
      </c>
      <c r="N23" s="3">
        <v>0.9</v>
      </c>
      <c r="O23" s="3">
        <v>0.9</v>
      </c>
      <c r="P23" s="28">
        <v>3</v>
      </c>
      <c r="Q23" s="5">
        <f t="shared" si="3"/>
        <v>698.46300000000008</v>
      </c>
      <c r="R23" s="5">
        <v>952.22</v>
      </c>
      <c r="S23" s="92">
        <f t="shared" si="4"/>
        <v>1.2269769479557255</v>
      </c>
      <c r="T23" s="150">
        <f t="shared" si="5"/>
        <v>0.246</v>
      </c>
      <c r="U23" s="149">
        <f t="shared" si="14"/>
        <v>8.2000000000000003E-2</v>
      </c>
      <c r="V23" s="71">
        <f t="shared" si="15"/>
        <v>7.6067085363737075E-2</v>
      </c>
      <c r="W23" s="95">
        <v>0</v>
      </c>
      <c r="X23" s="32">
        <f t="shared" si="6"/>
        <v>1</v>
      </c>
      <c r="Y23" s="32">
        <v>0</v>
      </c>
      <c r="Z23" s="54" t="s">
        <v>76</v>
      </c>
      <c r="AA23" s="98">
        <v>0.5111</v>
      </c>
      <c r="AB23" s="104">
        <f t="shared" si="7"/>
        <v>-0.2651</v>
      </c>
      <c r="AC23" s="106">
        <f t="shared" si="8"/>
        <v>-9.7578537283439903E-2</v>
      </c>
      <c r="AD23" s="101">
        <f t="shared" si="9"/>
        <v>0.32697694795572552</v>
      </c>
      <c r="AE23" s="50">
        <f t="shared" si="10"/>
        <v>0.32697694795572552</v>
      </c>
      <c r="AF23" s="51">
        <f t="shared" si="11"/>
        <v>0.82000000000000006</v>
      </c>
      <c r="AG23" s="35">
        <f t="shared" si="12"/>
        <v>0.62697694795572556</v>
      </c>
      <c r="AI23" s="57">
        <f t="shared" si="16"/>
        <v>0.9</v>
      </c>
    </row>
    <row r="24" spans="1:37" x14ac:dyDescent="0.35">
      <c r="A24" s="25">
        <v>22</v>
      </c>
      <c r="B24" s="176" t="s">
        <v>99</v>
      </c>
      <c r="C24" s="167" t="s">
        <v>74</v>
      </c>
      <c r="D24" s="168" t="s">
        <v>93</v>
      </c>
      <c r="E24" s="285" t="s">
        <v>44</v>
      </c>
      <c r="F24" s="43">
        <v>43938</v>
      </c>
      <c r="G24" s="42">
        <f t="shared" si="0"/>
        <v>45033</v>
      </c>
      <c r="H24" s="40">
        <v>776.07</v>
      </c>
      <c r="I24" s="1">
        <v>0.6</v>
      </c>
      <c r="J24" s="1">
        <f t="shared" si="1"/>
        <v>0.4</v>
      </c>
      <c r="K24" s="84">
        <f t="shared" si="2"/>
        <v>465.642</v>
      </c>
      <c r="L24" s="90">
        <v>0.20399999999999999</v>
      </c>
      <c r="M24" s="87">
        <v>1</v>
      </c>
      <c r="N24" s="1">
        <v>1</v>
      </c>
      <c r="O24" s="1">
        <v>1</v>
      </c>
      <c r="P24" s="29">
        <v>3</v>
      </c>
      <c r="Q24" s="5">
        <f t="shared" si="3"/>
        <v>776.07</v>
      </c>
      <c r="R24" s="5">
        <v>952.22</v>
      </c>
      <c r="S24" s="93">
        <f t="shared" si="4"/>
        <v>1.2269769479557255</v>
      </c>
      <c r="T24" s="150">
        <f t="shared" si="5"/>
        <v>0.61199999999999999</v>
      </c>
      <c r="U24" s="149">
        <f t="shared" si="14"/>
        <v>0.20399999999999999</v>
      </c>
      <c r="V24" s="71">
        <f t="shared" si="15"/>
        <v>0.17252383328607213</v>
      </c>
      <c r="W24" s="95">
        <v>0</v>
      </c>
      <c r="X24" s="32">
        <f t="shared" si="6"/>
        <v>1</v>
      </c>
      <c r="Y24" s="32">
        <v>0</v>
      </c>
      <c r="Z24" s="54" t="s">
        <v>76</v>
      </c>
      <c r="AA24" s="99">
        <v>0.5111</v>
      </c>
      <c r="AB24" s="104">
        <f t="shared" si="7"/>
        <v>0.10089999999999999</v>
      </c>
      <c r="AC24" s="106">
        <f t="shared" si="8"/>
        <v>3.2561569650662037E-2</v>
      </c>
      <c r="AD24" s="102">
        <f t="shared" si="9"/>
        <v>0.22697694795572554</v>
      </c>
      <c r="AE24" s="51">
        <f t="shared" si="10"/>
        <v>0.22697694795572554</v>
      </c>
      <c r="AF24" s="51">
        <f t="shared" si="11"/>
        <v>2.04</v>
      </c>
      <c r="AG24" s="35">
        <f t="shared" si="12"/>
        <v>0.62697694795572556</v>
      </c>
      <c r="AI24" s="57">
        <f t="shared" si="16"/>
        <v>1</v>
      </c>
    </row>
    <row r="25" spans="1:37" x14ac:dyDescent="0.35">
      <c r="A25" s="25">
        <v>23</v>
      </c>
      <c r="B25" s="174" t="s">
        <v>100</v>
      </c>
      <c r="C25" s="167" t="s">
        <v>74</v>
      </c>
      <c r="D25" s="167" t="s">
        <v>93</v>
      </c>
      <c r="E25" s="286" t="s">
        <v>44</v>
      </c>
      <c r="F25" s="43">
        <v>44001</v>
      </c>
      <c r="G25" s="42">
        <f t="shared" si="0"/>
        <v>45096</v>
      </c>
      <c r="H25" s="40">
        <v>867.18</v>
      </c>
      <c r="I25" s="1">
        <v>0.3</v>
      </c>
      <c r="J25" s="1">
        <f t="shared" si="1"/>
        <v>0.7</v>
      </c>
      <c r="K25" s="84">
        <f t="shared" si="2"/>
        <v>260.154</v>
      </c>
      <c r="L25" s="90">
        <v>5.7500000000000002E-2</v>
      </c>
      <c r="M25" s="87">
        <v>1</v>
      </c>
      <c r="N25" s="1" t="s">
        <v>101</v>
      </c>
      <c r="O25" s="1">
        <v>0.3</v>
      </c>
      <c r="P25" s="29">
        <v>3</v>
      </c>
      <c r="Q25" s="5">
        <f t="shared" si="3"/>
        <v>867.18</v>
      </c>
      <c r="R25" s="5">
        <v>921.25</v>
      </c>
      <c r="S25" s="93">
        <f t="shared" si="4"/>
        <v>1.0623515302474689</v>
      </c>
      <c r="T25" s="150">
        <f t="shared" si="5"/>
        <v>0.17250000000000001</v>
      </c>
      <c r="U25" s="149">
        <f t="shared" si="14"/>
        <v>5.7500000000000002E-2</v>
      </c>
      <c r="V25" s="71">
        <f t="shared" si="15"/>
        <v>5.4478227797437384E-2</v>
      </c>
      <c r="W25" s="95">
        <v>0</v>
      </c>
      <c r="X25" s="32">
        <f t="shared" si="6"/>
        <v>1</v>
      </c>
      <c r="Y25" s="32">
        <v>0</v>
      </c>
      <c r="Z25" s="54" t="s">
        <v>76</v>
      </c>
      <c r="AA25" s="99">
        <v>0.33476635514018693</v>
      </c>
      <c r="AB25" s="104">
        <f t="shared" si="7"/>
        <v>-0.16226635514018692</v>
      </c>
      <c r="AC25" s="106">
        <f t="shared" si="8"/>
        <v>-5.7310537288712604E-2</v>
      </c>
      <c r="AD25" s="102">
        <f t="shared" si="9"/>
        <v>6.2351530247468867E-2</v>
      </c>
      <c r="AE25" s="51">
        <f t="shared" si="10"/>
        <v>0.76235153024746882</v>
      </c>
      <c r="AF25" s="51">
        <f t="shared" si="11"/>
        <v>0.57500000000000007</v>
      </c>
      <c r="AG25" s="35">
        <f t="shared" si="12"/>
        <v>0.76235153024746882</v>
      </c>
      <c r="AI25" s="58">
        <f>(8-0.1*28)/8</f>
        <v>0.64999999999999991</v>
      </c>
      <c r="AK25" s="57"/>
    </row>
    <row r="26" spans="1:37" ht="15" thickBot="1" x14ac:dyDescent="0.4">
      <c r="A26" s="25">
        <v>24</v>
      </c>
      <c r="B26" s="175" t="s">
        <v>102</v>
      </c>
      <c r="C26" s="167" t="s">
        <v>74</v>
      </c>
      <c r="D26" s="167" t="s">
        <v>93</v>
      </c>
      <c r="E26" s="286" t="s">
        <v>44</v>
      </c>
      <c r="F26" s="298">
        <v>44001</v>
      </c>
      <c r="G26" s="299">
        <f t="shared" si="0"/>
        <v>45096</v>
      </c>
      <c r="H26" s="40">
        <v>867.18</v>
      </c>
      <c r="I26" s="1">
        <v>0.3</v>
      </c>
      <c r="J26" s="1">
        <f t="shared" si="1"/>
        <v>0.7</v>
      </c>
      <c r="K26" s="84">
        <f t="shared" si="2"/>
        <v>260.154</v>
      </c>
      <c r="L26" s="300">
        <v>0.1125</v>
      </c>
      <c r="M26" s="87">
        <v>1</v>
      </c>
      <c r="N26" s="1" t="s">
        <v>79</v>
      </c>
      <c r="O26" s="1">
        <v>0.65</v>
      </c>
      <c r="P26" s="29">
        <v>3</v>
      </c>
      <c r="Q26" s="5">
        <f t="shared" si="3"/>
        <v>867.18</v>
      </c>
      <c r="R26" s="5">
        <v>921.25</v>
      </c>
      <c r="S26" s="93">
        <f t="shared" si="4"/>
        <v>1.0623515302474689</v>
      </c>
      <c r="T26" s="150">
        <f t="shared" si="5"/>
        <v>0.33750000000000002</v>
      </c>
      <c r="U26" s="149">
        <f t="shared" si="14"/>
        <v>0.1125</v>
      </c>
      <c r="V26" s="71">
        <f t="shared" si="15"/>
        <v>0.1017877266108127</v>
      </c>
      <c r="W26" s="95">
        <v>0</v>
      </c>
      <c r="X26" s="32">
        <f t="shared" si="6"/>
        <v>1</v>
      </c>
      <c r="Y26" s="32">
        <v>0</v>
      </c>
      <c r="Z26" s="54" t="s">
        <v>76</v>
      </c>
      <c r="AA26" s="99">
        <v>0.33476635514018693</v>
      </c>
      <c r="AB26" s="104">
        <f t="shared" si="7"/>
        <v>2.7336448598130891E-3</v>
      </c>
      <c r="AC26" s="307">
        <f t="shared" si="8"/>
        <v>9.1038589927538993E-4</v>
      </c>
      <c r="AD26" s="102">
        <f t="shared" si="9"/>
        <v>6.2351530247468867E-2</v>
      </c>
      <c r="AE26" s="51">
        <f t="shared" si="10"/>
        <v>0.41235153024746884</v>
      </c>
      <c r="AF26" s="51">
        <f t="shared" si="11"/>
        <v>1.125</v>
      </c>
      <c r="AG26" s="35">
        <f t="shared" si="12"/>
        <v>0.76235153024746882</v>
      </c>
      <c r="AI26" s="58">
        <f>(8-0.05*28)/8</f>
        <v>0.82499999999999996</v>
      </c>
      <c r="AK26" s="57"/>
    </row>
    <row r="27" spans="1:37" x14ac:dyDescent="0.35">
      <c r="A27" s="25">
        <v>25</v>
      </c>
      <c r="B27" s="175" t="s">
        <v>103</v>
      </c>
      <c r="C27" s="167" t="s">
        <v>74</v>
      </c>
      <c r="D27" s="167" t="s">
        <v>93</v>
      </c>
      <c r="E27" s="286" t="s">
        <v>44</v>
      </c>
      <c r="F27" s="301">
        <v>44001</v>
      </c>
      <c r="G27" s="304">
        <f t="shared" si="0"/>
        <v>45096</v>
      </c>
      <c r="H27" s="40">
        <v>867.18</v>
      </c>
      <c r="I27" s="1">
        <v>0.3</v>
      </c>
      <c r="J27" s="1">
        <f t="shared" si="1"/>
        <v>0.7</v>
      </c>
      <c r="K27" s="84">
        <f t="shared" si="2"/>
        <v>260.154</v>
      </c>
      <c r="L27" s="88">
        <v>0.17749999999999999</v>
      </c>
      <c r="M27" s="87">
        <v>1</v>
      </c>
      <c r="N27" s="1">
        <v>1</v>
      </c>
      <c r="O27" s="1">
        <v>1</v>
      </c>
      <c r="P27" s="29">
        <v>3</v>
      </c>
      <c r="Q27" s="5">
        <f t="shared" si="3"/>
        <v>867.18</v>
      </c>
      <c r="R27" s="5">
        <v>921.25</v>
      </c>
      <c r="S27" s="93">
        <f t="shared" si="4"/>
        <v>1.0623515302474689</v>
      </c>
      <c r="T27" s="150">
        <f t="shared" si="5"/>
        <v>0.53249999999999997</v>
      </c>
      <c r="U27" s="149">
        <f t="shared" si="14"/>
        <v>0.17749999999999999</v>
      </c>
      <c r="V27" s="71">
        <f t="shared" si="15"/>
        <v>0.15292262283231328</v>
      </c>
      <c r="W27" s="95">
        <v>0</v>
      </c>
      <c r="X27" s="32">
        <f t="shared" si="6"/>
        <v>1</v>
      </c>
      <c r="Y27" s="32">
        <v>0</v>
      </c>
      <c r="Z27" s="54" t="s">
        <v>76</v>
      </c>
      <c r="AA27" s="99">
        <v>0.33476635514018693</v>
      </c>
      <c r="AB27" s="104">
        <f t="shared" si="7"/>
        <v>0.19773364485981304</v>
      </c>
      <c r="AC27" s="105">
        <f t="shared" si="8"/>
        <v>6.1989158218488383E-2</v>
      </c>
      <c r="AD27" s="102">
        <f t="shared" si="9"/>
        <v>6.2351530247468867E-2</v>
      </c>
      <c r="AE27" s="51">
        <f t="shared" si="10"/>
        <v>6.2351530247468867E-2</v>
      </c>
      <c r="AF27" s="51">
        <f t="shared" si="11"/>
        <v>1.7749999999999999</v>
      </c>
      <c r="AG27" s="35">
        <f t="shared" si="12"/>
        <v>0.76235153024746882</v>
      </c>
      <c r="AI27" s="57">
        <f t="shared" si="16"/>
        <v>1</v>
      </c>
    </row>
    <row r="28" spans="1:37" x14ac:dyDescent="0.35">
      <c r="A28" s="25">
        <v>26</v>
      </c>
      <c r="B28" s="174" t="s">
        <v>104</v>
      </c>
      <c r="C28" s="170" t="s">
        <v>74</v>
      </c>
      <c r="D28" s="167" t="s">
        <v>93</v>
      </c>
      <c r="E28" s="286" t="s">
        <v>44</v>
      </c>
      <c r="F28" s="302">
        <v>44001</v>
      </c>
      <c r="G28" s="305">
        <f t="shared" si="0"/>
        <v>45096</v>
      </c>
      <c r="H28" s="40">
        <v>867.18</v>
      </c>
      <c r="I28" s="1">
        <v>0.4</v>
      </c>
      <c r="J28" s="1">
        <f t="shared" si="1"/>
        <v>0.6</v>
      </c>
      <c r="K28" s="84">
        <f t="shared" si="2"/>
        <v>346.87200000000001</v>
      </c>
      <c r="L28" s="90">
        <v>0.1075</v>
      </c>
      <c r="M28" s="87">
        <v>1</v>
      </c>
      <c r="N28" s="1" t="s">
        <v>79</v>
      </c>
      <c r="O28" s="1">
        <v>0.65</v>
      </c>
      <c r="P28" s="29">
        <v>3</v>
      </c>
      <c r="Q28" s="5">
        <f t="shared" si="3"/>
        <v>867.18</v>
      </c>
      <c r="R28" s="5">
        <v>921.25</v>
      </c>
      <c r="S28" s="93">
        <f t="shared" si="4"/>
        <v>1.0623515302474689</v>
      </c>
      <c r="T28" s="150">
        <f t="shared" si="5"/>
        <v>0.32250000000000001</v>
      </c>
      <c r="U28" s="149">
        <f t="shared" si="14"/>
        <v>0.1075</v>
      </c>
      <c r="V28" s="71">
        <f t="shared" si="15"/>
        <v>9.7653399825005982E-2</v>
      </c>
      <c r="W28" s="95">
        <v>0</v>
      </c>
      <c r="X28" s="32">
        <f t="shared" si="6"/>
        <v>1</v>
      </c>
      <c r="Y28" s="32">
        <v>0</v>
      </c>
      <c r="Z28" s="54" t="s">
        <v>76</v>
      </c>
      <c r="AA28" s="99">
        <v>0.33476635514018693</v>
      </c>
      <c r="AB28" s="104">
        <f t="shared" si="7"/>
        <v>-1.2266355140186924E-2</v>
      </c>
      <c r="AC28" s="106">
        <f t="shared" si="8"/>
        <v>-4.1056180782977902E-3</v>
      </c>
      <c r="AD28" s="102">
        <f t="shared" si="9"/>
        <v>6.2351530247468867E-2</v>
      </c>
      <c r="AE28" s="51">
        <f t="shared" si="10"/>
        <v>0.41235153024746884</v>
      </c>
      <c r="AF28" s="51">
        <f t="shared" si="11"/>
        <v>1.075</v>
      </c>
      <c r="AG28" s="35">
        <f t="shared" si="12"/>
        <v>0.66235153024746884</v>
      </c>
      <c r="AI28" s="59">
        <f>AI26</f>
        <v>0.82499999999999996</v>
      </c>
      <c r="AK28" s="57"/>
    </row>
    <row r="29" spans="1:37" x14ac:dyDescent="0.35">
      <c r="A29" s="25">
        <v>27</v>
      </c>
      <c r="B29" s="175" t="s">
        <v>105</v>
      </c>
      <c r="C29" s="170" t="s">
        <v>74</v>
      </c>
      <c r="D29" s="167" t="s">
        <v>93</v>
      </c>
      <c r="E29" s="286" t="s">
        <v>44</v>
      </c>
      <c r="F29" s="302">
        <v>44001</v>
      </c>
      <c r="G29" s="305">
        <f t="shared" si="0"/>
        <v>45096</v>
      </c>
      <c r="H29" s="40">
        <v>867.18</v>
      </c>
      <c r="I29" s="1">
        <v>0.4</v>
      </c>
      <c r="J29" s="1">
        <f t="shared" si="1"/>
        <v>0.6</v>
      </c>
      <c r="K29" s="84">
        <f t="shared" si="2"/>
        <v>346.87200000000001</v>
      </c>
      <c r="L29" s="90">
        <v>0.17249999999999999</v>
      </c>
      <c r="M29" s="87">
        <v>1</v>
      </c>
      <c r="N29" s="1">
        <v>1</v>
      </c>
      <c r="O29" s="1">
        <v>1</v>
      </c>
      <c r="P29" s="29">
        <v>3</v>
      </c>
      <c r="Q29" s="5">
        <f t="shared" si="3"/>
        <v>867.18</v>
      </c>
      <c r="R29" s="5">
        <v>921.25</v>
      </c>
      <c r="S29" s="93">
        <f t="shared" si="4"/>
        <v>1.0623515302474689</v>
      </c>
      <c r="T29" s="150">
        <f t="shared" si="5"/>
        <v>0.51749999999999996</v>
      </c>
      <c r="U29" s="149">
        <f t="shared" si="14"/>
        <v>0.17249999999999999</v>
      </c>
      <c r="V29" s="71">
        <f t="shared" si="15"/>
        <v>0.14914870835808269</v>
      </c>
      <c r="W29" s="95">
        <v>0</v>
      </c>
      <c r="X29" s="32">
        <f t="shared" si="6"/>
        <v>1</v>
      </c>
      <c r="Y29" s="32">
        <v>0</v>
      </c>
      <c r="Z29" s="54" t="s">
        <v>76</v>
      </c>
      <c r="AA29" s="99">
        <v>0.33476635514018693</v>
      </c>
      <c r="AB29" s="104">
        <f t="shared" si="7"/>
        <v>0.18273364485981303</v>
      </c>
      <c r="AC29" s="106">
        <f t="shared" si="8"/>
        <v>5.7537193477805726E-2</v>
      </c>
      <c r="AD29" s="102">
        <f t="shared" si="9"/>
        <v>6.2351530247468867E-2</v>
      </c>
      <c r="AE29" s="51">
        <f t="shared" si="10"/>
        <v>6.2351530247468867E-2</v>
      </c>
      <c r="AF29" s="51">
        <f t="shared" si="11"/>
        <v>1.7249999999999999</v>
      </c>
      <c r="AG29" s="35">
        <f t="shared" si="12"/>
        <v>0.66235153024746884</v>
      </c>
      <c r="AI29" s="58">
        <f t="shared" si="16"/>
        <v>1</v>
      </c>
      <c r="AK29" s="57"/>
    </row>
    <row r="30" spans="1:37" x14ac:dyDescent="0.35">
      <c r="A30" s="25">
        <v>28</v>
      </c>
      <c r="B30" s="174" t="s">
        <v>106</v>
      </c>
      <c r="C30" s="167" t="s">
        <v>74</v>
      </c>
      <c r="D30" s="167" t="s">
        <v>93</v>
      </c>
      <c r="E30" s="286" t="s">
        <v>44</v>
      </c>
      <c r="F30" s="302">
        <v>44008</v>
      </c>
      <c r="G30" s="305">
        <f t="shared" si="0"/>
        <v>45103</v>
      </c>
      <c r="H30" s="40">
        <v>847.86</v>
      </c>
      <c r="I30" s="1">
        <v>0.4</v>
      </c>
      <c r="J30" s="1">
        <f t="shared" si="1"/>
        <v>0.6</v>
      </c>
      <c r="K30" s="84">
        <f t="shared" si="2"/>
        <v>339.14400000000001</v>
      </c>
      <c r="L30" s="90">
        <v>0.104</v>
      </c>
      <c r="M30" s="87">
        <v>1</v>
      </c>
      <c r="N30" s="1" t="s">
        <v>79</v>
      </c>
      <c r="O30" s="1">
        <v>0.65</v>
      </c>
      <c r="P30" s="29">
        <v>3</v>
      </c>
      <c r="Q30" s="5">
        <f t="shared" si="3"/>
        <v>847.86</v>
      </c>
      <c r="R30" s="5">
        <v>898.05</v>
      </c>
      <c r="S30" s="93">
        <f t="shared" si="4"/>
        <v>1.0591960936947136</v>
      </c>
      <c r="T30" s="150">
        <f t="shared" si="5"/>
        <v>0.312</v>
      </c>
      <c r="U30" s="149">
        <f t="shared" si="14"/>
        <v>0.104</v>
      </c>
      <c r="V30" s="71">
        <f t="shared" si="15"/>
        <v>9.4740734959685602E-2</v>
      </c>
      <c r="W30" s="95">
        <v>0</v>
      </c>
      <c r="X30" s="32">
        <f t="shared" si="6"/>
        <v>1</v>
      </c>
      <c r="Y30" s="32">
        <v>0</v>
      </c>
      <c r="Z30" s="54" t="s">
        <v>76</v>
      </c>
      <c r="AA30" s="99">
        <v>0.33960000000000001</v>
      </c>
      <c r="AB30" s="104">
        <f t="shared" si="7"/>
        <v>-2.7600000000000013E-2</v>
      </c>
      <c r="AC30" s="106">
        <f t="shared" si="8"/>
        <v>-9.2859621870378106E-3</v>
      </c>
      <c r="AD30" s="102">
        <f t="shared" si="9"/>
        <v>5.919609369471357E-2</v>
      </c>
      <c r="AE30" s="51">
        <f t="shared" si="10"/>
        <v>0.40919609369471355</v>
      </c>
      <c r="AF30" s="51">
        <f t="shared" si="11"/>
        <v>1.04</v>
      </c>
      <c r="AG30" s="35">
        <f t="shared" si="12"/>
        <v>0.65919609369471355</v>
      </c>
      <c r="AI30" s="58">
        <f>(8-0.05*28)/8</f>
        <v>0.82499999999999996</v>
      </c>
      <c r="AK30" s="57"/>
    </row>
    <row r="31" spans="1:37" x14ac:dyDescent="0.35">
      <c r="A31" s="25">
        <v>29</v>
      </c>
      <c r="B31" s="175" t="s">
        <v>107</v>
      </c>
      <c r="C31" s="167" t="s">
        <v>74</v>
      </c>
      <c r="D31" s="167" t="s">
        <v>93</v>
      </c>
      <c r="E31" s="286" t="s">
        <v>44</v>
      </c>
      <c r="F31" s="302">
        <v>44008</v>
      </c>
      <c r="G31" s="305">
        <f>EDATE(F31,36)</f>
        <v>45103</v>
      </c>
      <c r="H31" s="40">
        <v>847.86</v>
      </c>
      <c r="I31" s="1">
        <v>0.4</v>
      </c>
      <c r="J31" s="1">
        <f t="shared" si="1"/>
        <v>0.6</v>
      </c>
      <c r="K31" s="84">
        <f t="shared" si="2"/>
        <v>339.14400000000001</v>
      </c>
      <c r="L31" s="90">
        <v>0.17249999999999999</v>
      </c>
      <c r="M31" s="87">
        <v>1</v>
      </c>
      <c r="N31" s="1">
        <v>1</v>
      </c>
      <c r="O31" s="1">
        <v>1</v>
      </c>
      <c r="P31" s="29">
        <v>3</v>
      </c>
      <c r="Q31" s="5">
        <f t="shared" si="3"/>
        <v>847.86</v>
      </c>
      <c r="R31" s="5">
        <v>898.05</v>
      </c>
      <c r="S31" s="93">
        <f t="shared" si="4"/>
        <v>1.0591960936947136</v>
      </c>
      <c r="T31" s="150">
        <f t="shared" si="5"/>
        <v>0.51749999999999996</v>
      </c>
      <c r="U31" s="149">
        <f t="shared" si="14"/>
        <v>0.17249999999999999</v>
      </c>
      <c r="V31" s="71">
        <f t="shared" si="15"/>
        <v>0.14914870835808269</v>
      </c>
      <c r="W31" s="95">
        <v>0</v>
      </c>
      <c r="X31" s="32">
        <f t="shared" si="6"/>
        <v>1</v>
      </c>
      <c r="Y31" s="32">
        <v>0</v>
      </c>
      <c r="Z31" s="54" t="s">
        <v>76</v>
      </c>
      <c r="AA31" s="99">
        <v>0.33960000000000001</v>
      </c>
      <c r="AB31" s="104">
        <f t="shared" si="7"/>
        <v>0.17789999999999995</v>
      </c>
      <c r="AC31" s="106">
        <f t="shared" si="8"/>
        <v>5.6094564151726312E-2</v>
      </c>
      <c r="AD31" s="102">
        <f t="shared" si="9"/>
        <v>5.919609369471357E-2</v>
      </c>
      <c r="AE31" s="51">
        <f t="shared" si="10"/>
        <v>5.919609369471357E-2</v>
      </c>
      <c r="AF31" s="51">
        <f t="shared" si="11"/>
        <v>1.7249999999999999</v>
      </c>
      <c r="AG31" s="35">
        <f t="shared" si="12"/>
        <v>0.65919609369471355</v>
      </c>
      <c r="AI31" s="58">
        <f t="shared" si="16"/>
        <v>1</v>
      </c>
      <c r="AK31" s="57"/>
    </row>
    <row r="32" spans="1:37" x14ac:dyDescent="0.35">
      <c r="A32" s="25">
        <v>30</v>
      </c>
      <c r="B32" s="174" t="s">
        <v>108</v>
      </c>
      <c r="C32" s="167" t="s">
        <v>74</v>
      </c>
      <c r="D32" s="167" t="s">
        <v>93</v>
      </c>
      <c r="E32" s="286" t="s">
        <v>44</v>
      </c>
      <c r="F32" s="302">
        <v>44043</v>
      </c>
      <c r="G32" s="305">
        <f t="shared" si="0"/>
        <v>45138</v>
      </c>
      <c r="H32" s="40">
        <v>829.83</v>
      </c>
      <c r="I32" s="1">
        <v>0.4</v>
      </c>
      <c r="J32" s="1">
        <f t="shared" si="1"/>
        <v>0.6</v>
      </c>
      <c r="K32" s="84">
        <f>H32*I32</f>
        <v>331.93200000000002</v>
      </c>
      <c r="L32" s="90">
        <v>5.2499999999999998E-2</v>
      </c>
      <c r="M32" s="87">
        <v>1</v>
      </c>
      <c r="N32" s="1" t="s">
        <v>109</v>
      </c>
      <c r="O32" s="1">
        <v>0.4</v>
      </c>
      <c r="P32" s="29">
        <v>3</v>
      </c>
      <c r="Q32" s="5">
        <f>M32*H32</f>
        <v>829.83</v>
      </c>
      <c r="R32" s="5">
        <v>950.45</v>
      </c>
      <c r="S32" s="93">
        <f>R32/H32</f>
        <v>1.1453550727257391</v>
      </c>
      <c r="T32" s="150">
        <f>L32*3</f>
        <v>0.1575</v>
      </c>
      <c r="U32" s="149">
        <f>T32/3</f>
        <v>5.2499999999999998E-2</v>
      </c>
      <c r="V32" s="71">
        <f>(((1+(U32*P32))/1)^(1/P32)-1)</f>
        <v>4.9962205744694232E-2</v>
      </c>
      <c r="W32" s="95">
        <v>0</v>
      </c>
      <c r="X32" s="32">
        <f>IF(V32&gt;0,1,R32/H32)</f>
        <v>1</v>
      </c>
      <c r="Y32" s="32">
        <v>0</v>
      </c>
      <c r="Z32" s="54" t="s">
        <v>76</v>
      </c>
      <c r="AA32" s="99">
        <f>145.84/100.03-1</f>
        <v>0.45796261121663506</v>
      </c>
      <c r="AB32" s="104">
        <f t="shared" si="7"/>
        <v>-0.30046261121663509</v>
      </c>
      <c r="AC32" s="106">
        <f t="shared" si="8"/>
        <v>-0.11229163867132663</v>
      </c>
      <c r="AD32" s="102">
        <f t="shared" si="9"/>
        <v>0.14535507272573911</v>
      </c>
      <c r="AE32" s="51">
        <f t="shared" si="10"/>
        <v>0.74535507272573909</v>
      </c>
      <c r="AF32" s="51">
        <f t="shared" si="11"/>
        <v>0.52500000000000002</v>
      </c>
      <c r="AG32" s="35">
        <f t="shared" si="12"/>
        <v>0.74535507272573909</v>
      </c>
      <c r="AI32" s="58"/>
      <c r="AK32" s="57"/>
    </row>
    <row r="33" spans="1:37" x14ac:dyDescent="0.35">
      <c r="A33" s="25">
        <v>31</v>
      </c>
      <c r="B33" s="174" t="s">
        <v>110</v>
      </c>
      <c r="C33" s="167" t="s">
        <v>74</v>
      </c>
      <c r="D33" s="167" t="s">
        <v>93</v>
      </c>
      <c r="E33" s="286" t="s">
        <v>44</v>
      </c>
      <c r="F33" s="302">
        <v>44043</v>
      </c>
      <c r="G33" s="305">
        <f t="shared" si="0"/>
        <v>45138</v>
      </c>
      <c r="H33" s="40">
        <v>829.83</v>
      </c>
      <c r="I33" s="1">
        <v>0.4</v>
      </c>
      <c r="J33" s="1">
        <f t="shared" si="1"/>
        <v>0.6</v>
      </c>
      <c r="K33" s="84">
        <f t="shared" ref="K33:K39" si="17">H33*I33</f>
        <v>331.93200000000002</v>
      </c>
      <c r="L33" s="90">
        <v>9.2499999999999999E-2</v>
      </c>
      <c r="M33" s="87">
        <v>1</v>
      </c>
      <c r="N33" s="1" t="s">
        <v>79</v>
      </c>
      <c r="O33" s="1">
        <v>0.65</v>
      </c>
      <c r="P33" s="29">
        <v>3</v>
      </c>
      <c r="Q33" s="5">
        <f t="shared" ref="Q33:Q38" si="18">M33*H33</f>
        <v>829.83</v>
      </c>
      <c r="R33" s="5">
        <v>950.45</v>
      </c>
      <c r="S33" s="93">
        <f t="shared" ref="S33:S39" si="19">R33/H33</f>
        <v>1.1453550727257391</v>
      </c>
      <c r="T33" s="150">
        <f t="shared" ref="T33:T37" si="20">L33*3</f>
        <v>0.27749999999999997</v>
      </c>
      <c r="U33" s="149">
        <f t="shared" ref="U33:U37" si="21">T33/3</f>
        <v>9.2499999999999985E-2</v>
      </c>
      <c r="V33" s="71">
        <f t="shared" ref="V33:V37" si="22">(((1+(U33*P33))/1)^(1/P33)-1)</f>
        <v>8.5059706342234032E-2</v>
      </c>
      <c r="W33" s="95">
        <v>0</v>
      </c>
      <c r="X33" s="32">
        <f>IF(V33&gt;0,1,R33/H33)</f>
        <v>1</v>
      </c>
      <c r="Y33" s="32">
        <v>0</v>
      </c>
      <c r="Z33" s="54" t="s">
        <v>76</v>
      </c>
      <c r="AA33" s="99">
        <v>0.45800000000000002</v>
      </c>
      <c r="AB33" s="104">
        <f t="shared" si="7"/>
        <v>-0.18050000000000005</v>
      </c>
      <c r="AC33" s="106">
        <f t="shared" si="8"/>
        <v>-6.4200118268951112E-2</v>
      </c>
      <c r="AD33" s="102">
        <f t="shared" si="9"/>
        <v>0.14535507272573911</v>
      </c>
      <c r="AE33" s="51">
        <f t="shared" si="10"/>
        <v>0.49535507272573909</v>
      </c>
      <c r="AF33" s="51">
        <f t="shared" si="11"/>
        <v>0.92499999999999982</v>
      </c>
      <c r="AG33" s="35">
        <f t="shared" si="12"/>
        <v>0.74535507272573909</v>
      </c>
      <c r="AI33" s="58"/>
      <c r="AK33" s="57"/>
    </row>
    <row r="34" spans="1:37" x14ac:dyDescent="0.35">
      <c r="A34" s="25">
        <v>32</v>
      </c>
      <c r="B34" s="175" t="s">
        <v>111</v>
      </c>
      <c r="C34" s="167" t="s">
        <v>74</v>
      </c>
      <c r="D34" s="167" t="s">
        <v>112</v>
      </c>
      <c r="E34" s="286" t="s">
        <v>44</v>
      </c>
      <c r="F34" s="302">
        <v>44043</v>
      </c>
      <c r="G34" s="305">
        <f t="shared" si="0"/>
        <v>45138</v>
      </c>
      <c r="H34" s="40">
        <v>829.83</v>
      </c>
      <c r="I34" s="1">
        <v>0.4</v>
      </c>
      <c r="J34" s="1">
        <f t="shared" si="1"/>
        <v>0.6</v>
      </c>
      <c r="K34" s="84">
        <f t="shared" si="17"/>
        <v>331.93200000000002</v>
      </c>
      <c r="L34" s="90">
        <v>0.154</v>
      </c>
      <c r="M34" s="87">
        <v>1</v>
      </c>
      <c r="N34" s="1">
        <v>1</v>
      </c>
      <c r="O34" s="1">
        <v>1</v>
      </c>
      <c r="P34" s="29">
        <v>3</v>
      </c>
      <c r="Q34" s="5">
        <f t="shared" si="18"/>
        <v>829.83</v>
      </c>
      <c r="R34" s="5">
        <v>950.45</v>
      </c>
      <c r="S34" s="93">
        <f t="shared" si="19"/>
        <v>1.1453550727257391</v>
      </c>
      <c r="T34" s="150">
        <f t="shared" si="20"/>
        <v>0.46199999999999997</v>
      </c>
      <c r="U34" s="149">
        <f t="shared" si="21"/>
        <v>0.154</v>
      </c>
      <c r="V34" s="71">
        <f t="shared" si="22"/>
        <v>0.13496497010014763</v>
      </c>
      <c r="W34" s="95">
        <v>0</v>
      </c>
      <c r="X34" s="32">
        <f>IF(V34&gt;0,1,R34/H34)</f>
        <v>1</v>
      </c>
      <c r="Y34" s="32">
        <v>0</v>
      </c>
      <c r="Z34" s="54" t="s">
        <v>76</v>
      </c>
      <c r="AA34" s="99">
        <v>0.45800000000000002</v>
      </c>
      <c r="AB34" s="104">
        <f t="shared" si="7"/>
        <v>3.999999999999948E-3</v>
      </c>
      <c r="AC34" s="106">
        <f t="shared" si="8"/>
        <v>1.3315594956686549E-3</v>
      </c>
      <c r="AD34" s="102">
        <f t="shared" si="9"/>
        <v>0.14535507272573911</v>
      </c>
      <c r="AE34" s="51">
        <f t="shared" si="10"/>
        <v>0.14535507272573911</v>
      </c>
      <c r="AF34" s="51">
        <f>T34/P34*10</f>
        <v>1.54</v>
      </c>
      <c r="AG34" s="35">
        <f t="shared" si="12"/>
        <v>0.74535507272573909</v>
      </c>
      <c r="AI34" s="58"/>
      <c r="AK34" s="57"/>
    </row>
    <row r="35" spans="1:37" x14ac:dyDescent="0.35">
      <c r="A35" s="25">
        <v>33</v>
      </c>
      <c r="B35" s="174" t="s">
        <v>113</v>
      </c>
      <c r="C35" s="167" t="s">
        <v>74</v>
      </c>
      <c r="D35" s="167" t="s">
        <v>93</v>
      </c>
      <c r="E35" s="286" t="s">
        <v>44</v>
      </c>
      <c r="F35" s="302">
        <v>44099</v>
      </c>
      <c r="G35" s="305">
        <f t="shared" si="0"/>
        <v>45194</v>
      </c>
      <c r="H35" s="40">
        <v>842.03</v>
      </c>
      <c r="I35" s="1">
        <v>0.4</v>
      </c>
      <c r="J35" s="1">
        <f t="shared" si="1"/>
        <v>0.6</v>
      </c>
      <c r="K35" s="84">
        <f t="shared" si="17"/>
        <v>336.81200000000001</v>
      </c>
      <c r="L35" s="90">
        <v>5.1999999999999998E-2</v>
      </c>
      <c r="M35" s="87">
        <v>1</v>
      </c>
      <c r="N35" s="1" t="s">
        <v>109</v>
      </c>
      <c r="O35" s="1">
        <v>0.4</v>
      </c>
      <c r="P35" s="29">
        <v>3</v>
      </c>
      <c r="Q35" s="5">
        <f t="shared" si="18"/>
        <v>842.03</v>
      </c>
      <c r="R35" s="5">
        <v>912.3</v>
      </c>
      <c r="S35" s="93">
        <f t="shared" si="19"/>
        <v>1.0834530836193486</v>
      </c>
      <c r="T35" s="150">
        <f t="shared" si="20"/>
        <v>0.156</v>
      </c>
      <c r="U35" s="149">
        <f t="shared" si="21"/>
        <v>5.1999999999999998E-2</v>
      </c>
      <c r="V35" s="71">
        <f t="shared" si="22"/>
        <v>4.9508462297634059E-2</v>
      </c>
      <c r="W35" s="95">
        <v>0</v>
      </c>
      <c r="X35" s="32">
        <f t="shared" ref="X35:X39" si="23">IF(V35&gt;0,1,R35/H35)</f>
        <v>1</v>
      </c>
      <c r="Y35" s="32">
        <v>0</v>
      </c>
      <c r="Z35" s="54" t="s">
        <v>76</v>
      </c>
      <c r="AA35" s="99">
        <v>0.44540000000000002</v>
      </c>
      <c r="AB35" s="104">
        <f t="shared" si="7"/>
        <v>-0.28939999999999999</v>
      </c>
      <c r="AC35" s="106">
        <f t="shared" si="8"/>
        <v>-0.10763663111516375</v>
      </c>
      <c r="AD35" s="102">
        <f t="shared" si="9"/>
        <v>8.3453083619348556E-2</v>
      </c>
      <c r="AE35" s="51">
        <f>S35-O35</f>
        <v>0.68345308361934853</v>
      </c>
      <c r="AF35" s="51">
        <f>T35/P35*10</f>
        <v>0.52</v>
      </c>
      <c r="AG35" s="35">
        <f t="shared" si="12"/>
        <v>0.68345308361934853</v>
      </c>
      <c r="AI35" s="58"/>
      <c r="AK35" s="57"/>
    </row>
    <row r="36" spans="1:37" x14ac:dyDescent="0.35">
      <c r="A36" s="25">
        <v>34</v>
      </c>
      <c r="B36" s="174" t="s">
        <v>114</v>
      </c>
      <c r="C36" s="167" t="s">
        <v>74</v>
      </c>
      <c r="D36" s="167" t="s">
        <v>93</v>
      </c>
      <c r="E36" s="286" t="s">
        <v>44</v>
      </c>
      <c r="F36" s="302">
        <v>44099</v>
      </c>
      <c r="G36" s="305">
        <f t="shared" si="0"/>
        <v>45194</v>
      </c>
      <c r="H36" s="40">
        <v>842.03</v>
      </c>
      <c r="I36" s="1">
        <v>0.4</v>
      </c>
      <c r="J36" s="1">
        <f t="shared" si="1"/>
        <v>0.6</v>
      </c>
      <c r="K36" s="84">
        <f t="shared" si="17"/>
        <v>336.81200000000001</v>
      </c>
      <c r="L36" s="90">
        <v>9.4500000000000001E-2</v>
      </c>
      <c r="M36" s="87">
        <v>1</v>
      </c>
      <c r="N36" s="1" t="s">
        <v>79</v>
      </c>
      <c r="O36" s="1">
        <v>0.65</v>
      </c>
      <c r="P36" s="29">
        <v>3</v>
      </c>
      <c r="Q36" s="5">
        <f t="shared" si="18"/>
        <v>842.03</v>
      </c>
      <c r="R36" s="5">
        <v>912.3</v>
      </c>
      <c r="S36" s="93">
        <f t="shared" si="19"/>
        <v>1.0834530836193486</v>
      </c>
      <c r="T36" s="150">
        <f t="shared" si="20"/>
        <v>0.28349999999999997</v>
      </c>
      <c r="U36" s="149">
        <f t="shared" si="21"/>
        <v>9.4499999999999987E-2</v>
      </c>
      <c r="V36" s="71">
        <f t="shared" si="22"/>
        <v>8.6755777420617131E-2</v>
      </c>
      <c r="W36" s="95">
        <v>0</v>
      </c>
      <c r="X36" s="32">
        <f t="shared" si="23"/>
        <v>1</v>
      </c>
      <c r="Y36" s="32">
        <v>0</v>
      </c>
      <c r="Z36" s="54" t="s">
        <v>76</v>
      </c>
      <c r="AA36" s="99">
        <v>0.44540000000000002</v>
      </c>
      <c r="AB36" s="104">
        <f t="shared" si="7"/>
        <v>-0.16190000000000004</v>
      </c>
      <c r="AC36" s="106">
        <f t="shared" si="8"/>
        <v>-5.7173139282075791E-2</v>
      </c>
      <c r="AD36" s="102">
        <f t="shared" si="9"/>
        <v>8.3453083619348556E-2</v>
      </c>
      <c r="AE36" s="51">
        <f t="shared" si="10"/>
        <v>0.43345308361934853</v>
      </c>
      <c r="AF36" s="51">
        <f>T36/P36*10</f>
        <v>0.94499999999999984</v>
      </c>
      <c r="AG36" s="35">
        <f t="shared" si="12"/>
        <v>0.68345308361934853</v>
      </c>
      <c r="AI36" s="58"/>
      <c r="AK36" s="57"/>
    </row>
    <row r="37" spans="1:37" x14ac:dyDescent="0.35">
      <c r="A37" s="25">
        <v>35</v>
      </c>
      <c r="B37" s="175" t="s">
        <v>115</v>
      </c>
      <c r="C37" s="167" t="s">
        <v>74</v>
      </c>
      <c r="D37" s="167" t="s">
        <v>93</v>
      </c>
      <c r="E37" s="286" t="s">
        <v>44</v>
      </c>
      <c r="F37" s="302">
        <v>44099</v>
      </c>
      <c r="G37" s="305">
        <f t="shared" si="0"/>
        <v>45194</v>
      </c>
      <c r="H37" s="40">
        <v>842.03</v>
      </c>
      <c r="I37" s="1">
        <v>0.4</v>
      </c>
      <c r="J37" s="1">
        <f t="shared" si="1"/>
        <v>0.6</v>
      </c>
      <c r="K37" s="84">
        <f t="shared" si="17"/>
        <v>336.81200000000001</v>
      </c>
      <c r="L37" s="90">
        <v>0.159</v>
      </c>
      <c r="M37" s="87">
        <v>1</v>
      </c>
      <c r="N37" s="1">
        <v>1</v>
      </c>
      <c r="O37" s="1">
        <v>1</v>
      </c>
      <c r="P37" s="29">
        <v>3</v>
      </c>
      <c r="Q37" s="5">
        <f t="shared" si="18"/>
        <v>842.03</v>
      </c>
      <c r="R37" s="5">
        <v>912.3</v>
      </c>
      <c r="S37" s="93">
        <f t="shared" si="19"/>
        <v>1.0834530836193486</v>
      </c>
      <c r="T37" s="150">
        <f t="shared" si="20"/>
        <v>0.47699999999999998</v>
      </c>
      <c r="U37" s="149">
        <f t="shared" si="21"/>
        <v>0.159</v>
      </c>
      <c r="V37" s="71">
        <f t="shared" si="22"/>
        <v>0.1388333196056406</v>
      </c>
      <c r="W37" s="95">
        <v>0</v>
      </c>
      <c r="X37" s="32">
        <f t="shared" si="23"/>
        <v>1</v>
      </c>
      <c r="Y37" s="32">
        <v>0</v>
      </c>
      <c r="Z37" s="54" t="s">
        <v>76</v>
      </c>
      <c r="AA37" s="99">
        <v>0.44540000000000002</v>
      </c>
      <c r="AB37" s="104">
        <f t="shared" si="7"/>
        <v>3.1599999999999961E-2</v>
      </c>
      <c r="AC37" s="106">
        <f t="shared" si="8"/>
        <v>1.0424289924889418E-2</v>
      </c>
      <c r="AD37" s="102">
        <f t="shared" si="9"/>
        <v>8.3453083619348556E-2</v>
      </c>
      <c r="AE37" s="51">
        <f t="shared" si="10"/>
        <v>8.3453083619348556E-2</v>
      </c>
      <c r="AF37" s="51">
        <f>T37/P37*10</f>
        <v>1.59</v>
      </c>
      <c r="AG37" s="35">
        <f t="shared" si="12"/>
        <v>0.68345308361934853</v>
      </c>
      <c r="AI37" s="58"/>
      <c r="AK37" s="57"/>
    </row>
    <row r="38" spans="1:37" x14ac:dyDescent="0.35">
      <c r="A38" s="25">
        <v>36</v>
      </c>
      <c r="B38" s="175" t="s">
        <v>116</v>
      </c>
      <c r="C38" s="167" t="s">
        <v>74</v>
      </c>
      <c r="D38" s="167" t="s">
        <v>93</v>
      </c>
      <c r="E38" s="286" t="s">
        <v>44</v>
      </c>
      <c r="F38" s="302">
        <v>43756</v>
      </c>
      <c r="G38" s="305">
        <f>EDATE(F38,48)</f>
        <v>45217</v>
      </c>
      <c r="H38" s="40">
        <v>982.58</v>
      </c>
      <c r="I38" s="1">
        <v>0.6</v>
      </c>
      <c r="J38" s="1">
        <f t="shared" si="1"/>
        <v>0.4</v>
      </c>
      <c r="K38" s="84">
        <f t="shared" si="17"/>
        <v>589.548</v>
      </c>
      <c r="L38" s="90">
        <v>0.11600000000000001</v>
      </c>
      <c r="M38" s="87">
        <v>0.9</v>
      </c>
      <c r="N38" s="1">
        <v>0.9</v>
      </c>
      <c r="O38" s="1">
        <v>0.9</v>
      </c>
      <c r="P38" s="29">
        <v>4</v>
      </c>
      <c r="Q38" s="5">
        <f t="shared" si="18"/>
        <v>884.322</v>
      </c>
      <c r="R38" s="5">
        <v>888.46</v>
      </c>
      <c r="S38" s="93">
        <f t="shared" si="19"/>
        <v>0.90421136192472873</v>
      </c>
      <c r="T38" s="150">
        <f>L38*P38</f>
        <v>0.46400000000000002</v>
      </c>
      <c r="U38" s="149">
        <f>T38/P38</f>
        <v>0.11600000000000001</v>
      </c>
      <c r="V38" s="71">
        <f>(((1+(U38*P38))/1)^(1/P38)-1)</f>
        <v>9.9981216648872495E-2</v>
      </c>
      <c r="W38" s="95">
        <v>0</v>
      </c>
      <c r="X38" s="32">
        <f t="shared" si="23"/>
        <v>1</v>
      </c>
      <c r="Y38" s="32">
        <v>0</v>
      </c>
      <c r="Z38" s="54" t="s">
        <v>76</v>
      </c>
      <c r="AA38" s="99">
        <v>0.222</v>
      </c>
      <c r="AB38" s="104">
        <f>T38-AA38</f>
        <v>0.24200000000000002</v>
      </c>
      <c r="AC38" s="106">
        <f>(((1+AB38)/1)^(1/P38)-1)</f>
        <v>5.5675393887914204E-2</v>
      </c>
      <c r="AD38" s="102">
        <f t="shared" si="9"/>
        <v>4.2113619247287071E-3</v>
      </c>
      <c r="AE38" s="51">
        <f>S38-O38</f>
        <v>4.2113619247287071E-3</v>
      </c>
      <c r="AF38" s="51">
        <f t="shared" ref="AF38:AF39" si="24">T38/P38*10</f>
        <v>1.1600000000000001</v>
      </c>
      <c r="AG38" s="35">
        <f>S38-I38</f>
        <v>0.30421136192472875</v>
      </c>
      <c r="AI38" s="58"/>
      <c r="AK38" s="57"/>
    </row>
    <row r="39" spans="1:37" x14ac:dyDescent="0.35">
      <c r="A39" s="123">
        <v>37</v>
      </c>
      <c r="B39" s="175" t="s">
        <v>117</v>
      </c>
      <c r="C39" s="167" t="s">
        <v>74</v>
      </c>
      <c r="D39" s="167" t="s">
        <v>93</v>
      </c>
      <c r="E39" s="286" t="s">
        <v>44</v>
      </c>
      <c r="F39" s="302">
        <v>43756</v>
      </c>
      <c r="G39" s="305">
        <f>EDATE(F39,48)</f>
        <v>45217</v>
      </c>
      <c r="H39" s="40">
        <v>982.58</v>
      </c>
      <c r="I39" s="1">
        <v>0.6</v>
      </c>
      <c r="J39" s="1">
        <f t="shared" si="1"/>
        <v>0.4</v>
      </c>
      <c r="K39" s="84">
        <f t="shared" si="17"/>
        <v>589.548</v>
      </c>
      <c r="L39" s="90">
        <v>0.10100000000000001</v>
      </c>
      <c r="M39" s="87">
        <v>0.9</v>
      </c>
      <c r="N39" s="1">
        <v>0.9</v>
      </c>
      <c r="O39" s="1">
        <v>0.9</v>
      </c>
      <c r="P39" s="29">
        <v>4</v>
      </c>
      <c r="Q39" s="5">
        <f>M39*H39</f>
        <v>884.322</v>
      </c>
      <c r="R39" s="5">
        <v>888.46</v>
      </c>
      <c r="S39" s="93">
        <f t="shared" si="19"/>
        <v>0.90421136192472873</v>
      </c>
      <c r="T39" s="150">
        <f>L39*P39</f>
        <v>0.40400000000000003</v>
      </c>
      <c r="U39" s="149">
        <f>T39/P39</f>
        <v>0.10100000000000001</v>
      </c>
      <c r="V39" s="71">
        <f>(((1+(U39*P39))/1)^(1/P39)-1)</f>
        <v>8.8533444358918079E-2</v>
      </c>
      <c r="W39" s="95">
        <v>0</v>
      </c>
      <c r="X39" s="32">
        <f t="shared" si="23"/>
        <v>1</v>
      </c>
      <c r="Y39" s="32">
        <v>0</v>
      </c>
      <c r="Z39" s="54" t="s">
        <v>76</v>
      </c>
      <c r="AA39" s="99">
        <v>0.222</v>
      </c>
      <c r="AB39" s="104">
        <f>T39-AA39</f>
        <v>0.18200000000000002</v>
      </c>
      <c r="AC39" s="106">
        <f>(((1+AB39)/1)^(1/P39)-1)</f>
        <v>4.2687984966812031E-2</v>
      </c>
      <c r="AD39" s="102">
        <f>S39-M39</f>
        <v>4.2113619247287071E-3</v>
      </c>
      <c r="AE39" s="51">
        <f>S39-O39</f>
        <v>4.2113619247287071E-3</v>
      </c>
      <c r="AF39" s="51">
        <f t="shared" si="24"/>
        <v>1.01</v>
      </c>
      <c r="AG39" s="35">
        <f>S39-I39</f>
        <v>0.30421136192472875</v>
      </c>
      <c r="AI39" s="58"/>
      <c r="AK39" s="57"/>
    </row>
    <row r="40" spans="1:37" x14ac:dyDescent="0.35">
      <c r="A40" s="123">
        <v>38</v>
      </c>
      <c r="B40" s="175" t="s">
        <v>118</v>
      </c>
      <c r="C40" s="167" t="s">
        <v>74</v>
      </c>
      <c r="D40" s="167" t="s">
        <v>93</v>
      </c>
      <c r="E40" s="286" t="s">
        <v>44</v>
      </c>
      <c r="F40" s="302">
        <v>43805</v>
      </c>
      <c r="G40" s="305">
        <f>EDATE(F40,48)</f>
        <v>45266</v>
      </c>
      <c r="H40" s="281">
        <v>1007.21</v>
      </c>
      <c r="I40" s="1">
        <v>0.6</v>
      </c>
      <c r="J40" s="1">
        <f t="shared" ref="J40:J42" si="25">1-I40</f>
        <v>0.4</v>
      </c>
      <c r="K40" s="84">
        <f t="shared" ref="K40:K42" si="26">H40*I40</f>
        <v>604.32600000000002</v>
      </c>
      <c r="L40" s="90">
        <v>0.1125</v>
      </c>
      <c r="M40" s="87">
        <v>0.9</v>
      </c>
      <c r="N40" s="1">
        <v>0.9</v>
      </c>
      <c r="O40" s="1">
        <v>0.9</v>
      </c>
      <c r="P40" s="29">
        <v>4</v>
      </c>
      <c r="Q40" s="5">
        <f>M40*H40</f>
        <v>906.48900000000003</v>
      </c>
      <c r="R40" s="5">
        <v>935.18</v>
      </c>
      <c r="S40" s="93">
        <f t="shared" ref="S40:S41" si="27">R40/H40</f>
        <v>0.92848561868925039</v>
      </c>
      <c r="T40" s="150">
        <f>L40*P40</f>
        <v>0.45</v>
      </c>
      <c r="U40" s="149">
        <f>T40/P40</f>
        <v>0.1125</v>
      </c>
      <c r="V40" s="71">
        <f>(((1+(U40*P40))/1)^(1/P40)-1)</f>
        <v>9.7341996771849404E-2</v>
      </c>
      <c r="W40" s="95">
        <v>0</v>
      </c>
      <c r="X40" s="32">
        <f t="shared" ref="X40" si="28">IF(V40&gt;0,1,R40/H40)</f>
        <v>1</v>
      </c>
      <c r="Y40" s="32">
        <v>0</v>
      </c>
      <c r="Z40" s="54" t="s">
        <v>76</v>
      </c>
      <c r="AA40" s="99">
        <v>0.1956</v>
      </c>
      <c r="AB40" s="104">
        <f>T40-AA40</f>
        <v>0.25440000000000002</v>
      </c>
      <c r="AC40" s="106">
        <f>(((1+AB40)/1)^(1/P40)-1)</f>
        <v>5.8300524425836331E-2</v>
      </c>
      <c r="AD40" s="102">
        <f>S40-M40</f>
        <v>2.8485618689250369E-2</v>
      </c>
      <c r="AE40" s="51">
        <f>S40-O40</f>
        <v>2.8485618689250369E-2</v>
      </c>
      <c r="AF40" s="51">
        <f t="shared" ref="AF40:AF41" si="29">T40/P40*10</f>
        <v>1.125</v>
      </c>
      <c r="AG40" s="35">
        <f>S40-I40</f>
        <v>0.32848561868925041</v>
      </c>
      <c r="AI40" s="58"/>
      <c r="AK40" s="57"/>
    </row>
    <row r="41" spans="1:37" x14ac:dyDescent="0.35">
      <c r="A41" s="25">
        <v>39</v>
      </c>
      <c r="B41" s="175" t="s">
        <v>119</v>
      </c>
      <c r="C41" s="167" t="s">
        <v>74</v>
      </c>
      <c r="D41" s="167"/>
      <c r="E41" s="286" t="s">
        <v>44</v>
      </c>
      <c r="F41" s="302">
        <v>43581</v>
      </c>
      <c r="G41" s="305">
        <v>45408</v>
      </c>
      <c r="H41" s="40">
        <v>1014.15</v>
      </c>
      <c r="I41" s="1">
        <v>0.6</v>
      </c>
      <c r="J41" s="1">
        <f t="shared" si="25"/>
        <v>0.4</v>
      </c>
      <c r="K41" s="84">
        <f t="shared" si="26"/>
        <v>608.49</v>
      </c>
      <c r="L41" s="90">
        <v>7.2499999999999995E-2</v>
      </c>
      <c r="M41" s="87">
        <v>0.9</v>
      </c>
      <c r="N41" s="1" t="s">
        <v>79</v>
      </c>
      <c r="O41" s="1">
        <v>0.65</v>
      </c>
      <c r="P41" s="29">
        <v>5</v>
      </c>
      <c r="Q41" s="5">
        <f>ROUNDUP(M41*H41,2)</f>
        <v>912.74</v>
      </c>
      <c r="R41" s="5">
        <v>963.92</v>
      </c>
      <c r="S41" s="93">
        <f t="shared" si="27"/>
        <v>0.95047083764729079</v>
      </c>
      <c r="T41" s="150">
        <v>0.36249999999999999</v>
      </c>
      <c r="U41" s="149">
        <f>T41/P41</f>
        <v>7.2499999999999995E-2</v>
      </c>
      <c r="V41" s="71">
        <f>(((1+(U41*P41))/1)^(1/P41)-1)</f>
        <v>6.3817921122524268E-2</v>
      </c>
      <c r="W41" s="95">
        <v>0</v>
      </c>
      <c r="X41" s="32">
        <v>1</v>
      </c>
      <c r="Y41" s="32">
        <v>0</v>
      </c>
      <c r="Z41" s="54" t="s">
        <v>76</v>
      </c>
      <c r="AA41" s="99">
        <v>0.31709999999999999</v>
      </c>
      <c r="AB41" s="104">
        <f>T41-AA41</f>
        <v>4.5399999999999996E-2</v>
      </c>
      <c r="AC41" s="106">
        <f>(((1+AB41)/1)^(1/P41)-1)</f>
        <v>8.9194608871721037E-3</v>
      </c>
      <c r="AD41" s="102">
        <f t="shared" ref="AD41:AD45" si="30">S41-M41</f>
        <v>5.0470837647290767E-2</v>
      </c>
      <c r="AE41" s="51">
        <f>S41-O41</f>
        <v>0.30047083764729077</v>
      </c>
      <c r="AF41" s="51">
        <f t="shared" si="29"/>
        <v>0.72499999999999998</v>
      </c>
      <c r="AG41" s="35">
        <f>S41-I41</f>
        <v>0.35047083764729081</v>
      </c>
      <c r="AI41" s="58"/>
      <c r="AK41" s="57"/>
    </row>
    <row r="42" spans="1:37" x14ac:dyDescent="0.35">
      <c r="A42" s="289">
        <v>40</v>
      </c>
      <c r="B42" s="175" t="s">
        <v>172</v>
      </c>
      <c r="C42" s="291" t="s">
        <v>74</v>
      </c>
      <c r="D42" s="167"/>
      <c r="E42" s="286" t="s">
        <v>44</v>
      </c>
      <c r="F42" s="302">
        <v>43644</v>
      </c>
      <c r="G42" s="305">
        <f>EDATE(F42,60)</f>
        <v>45471</v>
      </c>
      <c r="H42" s="40">
        <v>991.63</v>
      </c>
      <c r="I42" s="1">
        <v>0.6</v>
      </c>
      <c r="J42" s="1">
        <f t="shared" si="25"/>
        <v>0.4</v>
      </c>
      <c r="K42" s="84">
        <f t="shared" si="26"/>
        <v>594.97799999999995</v>
      </c>
      <c r="L42" s="90">
        <v>7.3999999999999996E-2</v>
      </c>
      <c r="M42" s="87">
        <v>0.9</v>
      </c>
      <c r="N42" s="1" t="s">
        <v>79</v>
      </c>
      <c r="O42" s="1">
        <v>0.65</v>
      </c>
      <c r="P42" s="29">
        <v>5</v>
      </c>
      <c r="Q42" s="5">
        <f t="shared" ref="Q42:Q45" si="31">ROUNDUP(M42*H42,2)</f>
        <v>892.47</v>
      </c>
      <c r="R42" s="5">
        <v>970.62</v>
      </c>
      <c r="S42" s="93">
        <f t="shared" ref="S42" si="32">R42/H42</f>
        <v>0.9788126619807791</v>
      </c>
      <c r="T42" s="153">
        <v>0.37</v>
      </c>
      <c r="U42" s="149">
        <f>T42/P42</f>
        <v>7.3999999999999996E-2</v>
      </c>
      <c r="V42" s="71">
        <f>(((1+(U42*P42))/1)^(1/P42)-1)</f>
        <v>6.498652656427617E-2</v>
      </c>
      <c r="W42" s="95">
        <v>0</v>
      </c>
      <c r="X42" s="32">
        <v>1</v>
      </c>
      <c r="Y42" s="32">
        <v>0</v>
      </c>
      <c r="Z42" s="54" t="s">
        <v>76</v>
      </c>
      <c r="AA42" s="99">
        <v>0.31969999999999998</v>
      </c>
      <c r="AB42" s="104">
        <f>T42-AA42</f>
        <v>5.0300000000000011E-2</v>
      </c>
      <c r="AC42" s="106">
        <f>(((1+AB42)/1)^(1/P42)-1)</f>
        <v>9.8634942684039384E-3</v>
      </c>
      <c r="AD42" s="102">
        <f t="shared" si="30"/>
        <v>7.8812661980779075E-2</v>
      </c>
      <c r="AE42" s="294">
        <f>S42-O42</f>
        <v>0.32881266198077908</v>
      </c>
      <c r="AF42" s="51">
        <f t="shared" ref="AF42" si="33">T42/P42*10</f>
        <v>0.74</v>
      </c>
      <c r="AG42" s="35">
        <f>S42-I42</f>
        <v>0.37881266198077912</v>
      </c>
      <c r="AI42" s="58"/>
      <c r="AK42" s="57"/>
    </row>
    <row r="43" spans="1:37" hidden="1" x14ac:dyDescent="0.35">
      <c r="A43" s="289"/>
      <c r="B43" s="12"/>
      <c r="C43" s="292"/>
      <c r="D43" s="167" t="s">
        <v>93</v>
      </c>
      <c r="E43" s="12"/>
      <c r="F43" s="302"/>
      <c r="G43" s="305"/>
      <c r="H43" s="40"/>
      <c r="I43" s="1"/>
      <c r="J43" s="1"/>
      <c r="K43" s="84"/>
      <c r="L43" s="90"/>
      <c r="M43" s="87"/>
      <c r="N43" s="126"/>
      <c r="O43" s="1"/>
      <c r="P43" s="29"/>
      <c r="Q43" s="5">
        <f t="shared" si="31"/>
        <v>0</v>
      </c>
      <c r="R43" s="5"/>
      <c r="S43" s="93"/>
      <c r="T43" s="153"/>
      <c r="U43" s="119"/>
      <c r="V43" s="154"/>
      <c r="W43" s="130"/>
      <c r="X43" s="130"/>
      <c r="Y43" s="130"/>
      <c r="Z43" s="130"/>
      <c r="AA43" s="131"/>
      <c r="AB43" s="140"/>
      <c r="AC43" s="308"/>
      <c r="AD43" s="102">
        <f t="shared" si="30"/>
        <v>0</v>
      </c>
      <c r="AE43" s="294"/>
      <c r="AF43" s="51"/>
      <c r="AG43" s="35"/>
      <c r="AI43" s="58"/>
      <c r="AK43" s="57"/>
    </row>
    <row r="44" spans="1:37" x14ac:dyDescent="0.35">
      <c r="A44" s="26">
        <v>41</v>
      </c>
      <c r="B44" s="175" t="s">
        <v>174</v>
      </c>
      <c r="C44" s="291" t="s">
        <v>74</v>
      </c>
      <c r="D44" s="167" t="s">
        <v>93</v>
      </c>
      <c r="E44" s="286" t="s">
        <v>44</v>
      </c>
      <c r="F44" s="302">
        <v>43707</v>
      </c>
      <c r="G44" s="305">
        <f>EDATE(F44,60)</f>
        <v>45534</v>
      </c>
      <c r="H44" s="40">
        <v>964.28</v>
      </c>
      <c r="I44" s="1">
        <v>0.6</v>
      </c>
      <c r="J44" s="1">
        <f t="shared" ref="J44:J45" si="34">1-I44</f>
        <v>0.4</v>
      </c>
      <c r="K44" s="84">
        <f t="shared" ref="K44:K45" si="35">H44*I44</f>
        <v>578.56799999999998</v>
      </c>
      <c r="L44" s="90">
        <f>0.252/3</f>
        <v>8.4000000000000005E-2</v>
      </c>
      <c r="M44" s="87">
        <v>0.9</v>
      </c>
      <c r="N44" s="1" t="s">
        <v>79</v>
      </c>
      <c r="O44" s="1">
        <v>0.65</v>
      </c>
      <c r="P44" s="29">
        <v>5</v>
      </c>
      <c r="Q44" s="5">
        <f t="shared" si="31"/>
        <v>867.86</v>
      </c>
      <c r="R44" s="5">
        <v>998.56</v>
      </c>
      <c r="S44" s="93">
        <f t="shared" ref="S44:S45" si="36">R44/H44</f>
        <v>1.0355498402953498</v>
      </c>
      <c r="T44" s="153">
        <f>L44*P44</f>
        <v>0.42000000000000004</v>
      </c>
      <c r="U44" s="149">
        <f t="shared" ref="U44:U45" si="37">T44/P44</f>
        <v>8.4000000000000005E-2</v>
      </c>
      <c r="V44" s="71">
        <f t="shared" ref="V44:V45" si="38">(((1+(U44*P44))/1)^(1/P44)-1)</f>
        <v>7.264909054577684E-2</v>
      </c>
      <c r="W44" s="95">
        <v>0</v>
      </c>
      <c r="X44" s="32">
        <v>1</v>
      </c>
      <c r="Y44" s="32">
        <v>0</v>
      </c>
      <c r="Z44" s="54" t="s">
        <v>76</v>
      </c>
      <c r="AA44" s="99">
        <f>166.02/119.32-1</f>
        <v>0.39138451223600423</v>
      </c>
      <c r="AB44" s="104">
        <f t="shared" ref="AB44:AB45" si="39">T44-AA44</f>
        <v>2.8615487763995806E-2</v>
      </c>
      <c r="AC44" s="106">
        <f t="shared" ref="AC44:AC45" si="40">(((1+AB44)/1)^(1/P44)-1)</f>
        <v>5.6586925322217319E-3</v>
      </c>
      <c r="AD44" s="102">
        <f t="shared" si="30"/>
        <v>0.13554984029534978</v>
      </c>
      <c r="AE44" s="294">
        <f t="shared" ref="AE44:AE45" si="41">S44-O44</f>
        <v>0.38554984029534978</v>
      </c>
      <c r="AF44" s="51">
        <f t="shared" ref="AF44:AF45" si="42">T44/P44*10</f>
        <v>0.84000000000000008</v>
      </c>
      <c r="AG44" s="35">
        <f t="shared" ref="AG44:AG45" si="43">S44-I44</f>
        <v>0.43554984029534982</v>
      </c>
      <c r="AI44" s="58"/>
      <c r="AK44" s="57"/>
    </row>
    <row r="45" spans="1:37" ht="15" thickBot="1" x14ac:dyDescent="0.4">
      <c r="A45" s="293">
        <v>42</v>
      </c>
      <c r="B45" s="282" t="s">
        <v>175</v>
      </c>
      <c r="C45" s="291" t="s">
        <v>74</v>
      </c>
      <c r="D45" s="167" t="s">
        <v>93</v>
      </c>
      <c r="E45" s="288" t="s">
        <v>44</v>
      </c>
      <c r="F45" s="303">
        <v>43707</v>
      </c>
      <c r="G45" s="306">
        <f>EDATE(F45,60)</f>
        <v>45534</v>
      </c>
      <c r="H45" s="290">
        <v>964.28</v>
      </c>
      <c r="I45" s="3">
        <v>0.6</v>
      </c>
      <c r="J45" s="3">
        <f t="shared" si="34"/>
        <v>0.4</v>
      </c>
      <c r="K45" s="83">
        <f t="shared" si="35"/>
        <v>578.56799999999998</v>
      </c>
      <c r="L45" s="108">
        <f>0.441/3</f>
        <v>0.14699999999999999</v>
      </c>
      <c r="M45" s="86">
        <v>1</v>
      </c>
      <c r="N45" s="1">
        <v>1</v>
      </c>
      <c r="O45" s="126">
        <v>1</v>
      </c>
      <c r="P45" s="128">
        <v>5</v>
      </c>
      <c r="Q45" s="125">
        <f t="shared" si="31"/>
        <v>964.28</v>
      </c>
      <c r="R45" s="125">
        <v>998.56</v>
      </c>
      <c r="S45" s="129">
        <f t="shared" si="36"/>
        <v>1.0355498402953498</v>
      </c>
      <c r="T45" s="295">
        <f>L45*P45</f>
        <v>0.73499999999999999</v>
      </c>
      <c r="U45" s="149">
        <f t="shared" si="37"/>
        <v>0.14699999999999999</v>
      </c>
      <c r="V45" s="71">
        <f t="shared" si="38"/>
        <v>0.1165030038151964</v>
      </c>
      <c r="W45" s="95">
        <v>0</v>
      </c>
      <c r="X45" s="32">
        <v>1</v>
      </c>
      <c r="Y45" s="32">
        <v>0</v>
      </c>
      <c r="Z45" s="54" t="s">
        <v>76</v>
      </c>
      <c r="AA45" s="99">
        <f>166.02/119.32-1</f>
        <v>0.39138451223600423</v>
      </c>
      <c r="AB45" s="104">
        <f t="shared" si="39"/>
        <v>0.34361548776399575</v>
      </c>
      <c r="AC45" s="107">
        <f t="shared" si="40"/>
        <v>6.0852490426636097E-2</v>
      </c>
      <c r="AD45" s="101">
        <f t="shared" si="30"/>
        <v>3.5549840295349799E-2</v>
      </c>
      <c r="AE45" s="133">
        <f t="shared" si="41"/>
        <v>3.5549840295349799E-2</v>
      </c>
      <c r="AF45" s="50">
        <f t="shared" si="42"/>
        <v>1.47</v>
      </c>
      <c r="AG45" s="35">
        <f t="shared" si="43"/>
        <v>0.43554984029534982</v>
      </c>
      <c r="AI45" s="58"/>
      <c r="AK45" s="57"/>
    </row>
    <row r="46" spans="1:37" ht="15" thickBot="1" x14ac:dyDescent="0.4">
      <c r="A46" s="20"/>
      <c r="B46" s="7" t="s">
        <v>120</v>
      </c>
      <c r="C46" s="7"/>
      <c r="D46" s="284"/>
      <c r="E46" s="7"/>
      <c r="F46" s="7"/>
      <c r="G46" s="13"/>
      <c r="H46" s="11"/>
      <c r="I46" s="2">
        <f>AVERAGE(I3:I45)</f>
        <v>0.53095238095238095</v>
      </c>
      <c r="J46" s="2">
        <f>AVERAGE(J3:J45)</f>
        <v>0.46904761904761877</v>
      </c>
      <c r="K46" s="76"/>
      <c r="L46" s="146">
        <f t="shared" ref="L46:M46" si="44">AVERAGE(L3:L45)</f>
        <v>0.10244047619047618</v>
      </c>
      <c r="M46" s="146">
        <f t="shared" si="44"/>
        <v>0.96190476190476171</v>
      </c>
      <c r="N46" s="62"/>
      <c r="O46" s="6">
        <f>AVERAGE(O3:O43)</f>
        <v>0.80624999999999969</v>
      </c>
      <c r="P46" s="309">
        <f>AVERAGE(P3:P43)</f>
        <v>3.1749999999999998</v>
      </c>
      <c r="Q46" s="11"/>
      <c r="R46" s="11">
        <f>AVERAGE(R3:R45)</f>
        <v>972.41833333333329</v>
      </c>
      <c r="S46" s="61">
        <f t="shared" ref="S46:Y46" si="45">AVERAGE(S3:S45)</f>
        <v>1.0640658252102264</v>
      </c>
      <c r="T46" s="64">
        <f t="shared" si="45"/>
        <v>0.33314285714285713</v>
      </c>
      <c r="U46" s="64">
        <f t="shared" si="45"/>
        <v>0.10244047619047618</v>
      </c>
      <c r="V46" s="64">
        <f t="shared" si="45"/>
        <v>9.1680977451190568E-2</v>
      </c>
      <c r="W46" s="148">
        <f t="shared" si="45"/>
        <v>0</v>
      </c>
      <c r="X46" s="64">
        <f t="shared" si="45"/>
        <v>1</v>
      </c>
      <c r="Y46" s="64">
        <f t="shared" si="45"/>
        <v>0</v>
      </c>
      <c r="Z46" s="65"/>
      <c r="AA46" s="6">
        <f>AVERAGE(AA3:AA45)</f>
        <v>0.28221579550927556</v>
      </c>
      <c r="AB46" s="6">
        <f>AVERAGE(AB3:AB45)</f>
        <v>5.092706163358144E-2</v>
      </c>
      <c r="AC46" s="77">
        <f>AVERAGE(AC3:AC45)</f>
        <v>1.1061313103123346E-2</v>
      </c>
      <c r="AD46" s="46">
        <f>AVERAGE(AD3:AD45)</f>
        <v>9.9785224623941626E-2</v>
      </c>
      <c r="AE46" s="46">
        <f t="shared" ref="AE46:AG46" si="46">AVERAGE(AE3:AE45)</f>
        <v>0.25692296806736875</v>
      </c>
      <c r="AF46" s="46">
        <f t="shared" si="46"/>
        <v>1.0244047619047623</v>
      </c>
      <c r="AG46" s="46">
        <f t="shared" si="46"/>
        <v>0.53311344425784513</v>
      </c>
      <c r="AI46" s="57"/>
    </row>
    <row r="47" spans="1:37" ht="15" thickBot="1" x14ac:dyDescent="0.4">
      <c r="T47" s="341" t="s">
        <v>121</v>
      </c>
      <c r="U47" s="342"/>
      <c r="V47" s="342"/>
      <c r="W47" s="339"/>
      <c r="X47" s="339"/>
      <c r="Y47" s="339"/>
      <c r="Z47" s="339"/>
      <c r="AA47" s="343"/>
      <c r="AB47" s="6">
        <f>MAX(AB3:AB45)</f>
        <v>0.34361548776399575</v>
      </c>
      <c r="AC47" s="46">
        <f>MAX(AC3:AC45)</f>
        <v>8.5908404151164852E-2</v>
      </c>
    </row>
    <row r="48" spans="1:37" ht="15" thickBot="1" x14ac:dyDescent="0.4">
      <c r="B48" s="75" t="s">
        <v>122</v>
      </c>
      <c r="C48" s="75"/>
      <c r="D48" s="75"/>
      <c r="E48" s="75"/>
      <c r="T48" s="338" t="s">
        <v>123</v>
      </c>
      <c r="U48" s="339"/>
      <c r="V48" s="339"/>
      <c r="W48" s="339"/>
      <c r="X48" s="339"/>
      <c r="Y48" s="339"/>
      <c r="Z48" s="339"/>
      <c r="AA48" s="340"/>
      <c r="AB48" s="47">
        <f>_xlfn.MINIFS(AB3:AB45,AB3:AB45,"&gt;0")</f>
        <v>6.9999999999997842E-4</v>
      </c>
      <c r="AC48" s="47">
        <f>_xlfn.MINIFS(AC3:AC45,AC3:AC45,"&gt;0")</f>
        <v>2.3327891005187062E-4</v>
      </c>
    </row>
    <row r="49" spans="13:29" ht="15" thickBot="1" x14ac:dyDescent="0.4">
      <c r="T49" s="338" t="s">
        <v>124</v>
      </c>
      <c r="U49" s="339"/>
      <c r="V49" s="339"/>
      <c r="W49" s="339"/>
      <c r="X49" s="339"/>
      <c r="Y49" s="339"/>
      <c r="Z49" s="339"/>
      <c r="AA49" s="343"/>
      <c r="AB49" s="48">
        <f>AVERAGEIF('All LKO plans'!AB2:AB45,"&gt;0",'All LKO plans'!AB2:AB45)</f>
        <v>0.13038490032604613</v>
      </c>
      <c r="AC49" s="48">
        <f>AVERAGEIF('All LKO plans'!AC2:AC43,"&gt;0",'All LKO plans'!AC2:AC43)</f>
        <v>3.7585040013690778E-2</v>
      </c>
    </row>
    <row r="50" spans="13:29" x14ac:dyDescent="0.35">
      <c r="T50" s="347" t="s">
        <v>125</v>
      </c>
      <c r="U50" s="347"/>
      <c r="V50" s="347"/>
      <c r="W50" s="347"/>
      <c r="X50" s="347"/>
      <c r="Y50" s="347"/>
      <c r="Z50" s="347"/>
      <c r="AA50" s="347"/>
    </row>
    <row r="51" spans="13:29" x14ac:dyDescent="0.35">
      <c r="N51" s="60"/>
    </row>
    <row r="52" spans="13:29" x14ac:dyDescent="0.35">
      <c r="M52" s="296"/>
      <c r="N52" s="60"/>
    </row>
    <row r="53" spans="13:29" x14ac:dyDescent="0.35">
      <c r="M53" s="58"/>
      <c r="N53" s="60"/>
    </row>
    <row r="54" spans="13:29" x14ac:dyDescent="0.35">
      <c r="M54" s="58"/>
      <c r="N54" s="60"/>
      <c r="AA54" s="60"/>
    </row>
    <row r="55" spans="13:29" x14ac:dyDescent="0.35">
      <c r="N55" s="60"/>
      <c r="T55" s="60"/>
    </row>
    <row r="56" spans="13:29" x14ac:dyDescent="0.35">
      <c r="N56" s="60"/>
      <c r="T56" s="60"/>
    </row>
    <row r="57" spans="13:29" x14ac:dyDescent="0.35">
      <c r="N57" s="60"/>
      <c r="T57" s="60"/>
    </row>
    <row r="58" spans="13:29" x14ac:dyDescent="0.35">
      <c r="N58" s="60"/>
      <c r="T58" s="60"/>
    </row>
    <row r="59" spans="13:29" x14ac:dyDescent="0.35">
      <c r="N59" s="60"/>
      <c r="T59" s="60"/>
    </row>
    <row r="60" spans="13:29" x14ac:dyDescent="0.35">
      <c r="T60" s="60"/>
    </row>
    <row r="61" spans="13:29" x14ac:dyDescent="0.35">
      <c r="T61" s="60"/>
      <c r="U61" s="297"/>
    </row>
    <row r="62" spans="13:29" x14ac:dyDescent="0.35">
      <c r="T62" s="60"/>
    </row>
  </sheetData>
  <autoFilter ref="A2:AG31" xr:uid="{52A0464C-98DB-4250-9B10-FEBB8691F31F}">
    <sortState xmlns:xlrd2="http://schemas.microsoft.com/office/spreadsheetml/2017/richdata2" ref="A3:AG31">
      <sortCondition ref="A2:A31"/>
    </sortState>
  </autoFilter>
  <mergeCells count="5">
    <mergeCell ref="T48:AA48"/>
    <mergeCell ref="T47:AA47"/>
    <mergeCell ref="A1:AG1"/>
    <mergeCell ref="T49:AA49"/>
    <mergeCell ref="T50:AA50"/>
  </mergeCells>
  <phoneticPr fontId="18" type="noConversion"/>
  <conditionalFormatting sqref="AB3:AC45">
    <cfRule type="cellIs" dxfId="9" priority="1" operator="greaterThan">
      <formula>0</formula>
    </cfRule>
    <cfRule type="cellIs" dxfId="8" priority="2" operator="lessThan">
      <formula>0</formula>
    </cfRule>
  </conditionalFormatting>
  <hyperlinks>
    <hyperlink ref="C3" r:id="rId1" display="https://tempo-sp.com/vault/files/Tempo_LKO_SG_Brochure.pdf" xr:uid="{6E0368D0-8A58-4115-A35F-F1B10BFBFDCA}"/>
    <hyperlink ref="C5" r:id="rId2" display="https://tempo-sp.com/vault/files/Tempo_SG_LKO_Aug18_Brochure_FINAL.pdf" xr:uid="{723AB95D-57E6-49F8-91A8-70B600695F21}"/>
    <hyperlink ref="C6" r:id="rId3" display="https://tempo-sp.com/vault/files/Tempo_SG_LKO_Aug18_Brochure_FINAL.pdf" xr:uid="{45864507-94E2-469F-9B74-0DFA5EFF8CBF}"/>
    <hyperlink ref="C4" r:id="rId4" display="https://tempo-sp.com/vault/files/Tempo_SG_LKO_Aug18_Brochure_FINAL.pdf" xr:uid="{BAA749C6-378D-469C-9D8E-ED9A006A5C24}"/>
    <hyperlink ref="C7" r:id="rId5" display="https://tempo-sp.com/vault/files/Tempo_LKO_Brochure_Oct18.pdf" xr:uid="{30CC07BD-0C68-4779-B2F8-D8FC87BFA956}"/>
    <hyperlink ref="C8" r:id="rId6" display="https://tempo-sp.com/vault/files/Tempo_LKO_Brochure_Oct18.pdf" xr:uid="{36F05E99-B892-455A-A26E-D1051B318AC5}"/>
    <hyperlink ref="C9" r:id="rId7" display="https://tempo-sp.com/vault/files/Tempo_LKO_Brochure_Oct18.pdf" xr:uid="{B0B8F16F-CC29-4153-91E9-2B156D98BD38}"/>
    <hyperlink ref="C10" r:id="rId8" display="https://tempo-sp.com/vault/files/Tempo_LKO_Brochure_Dec2018.pdf" xr:uid="{76B3C1F6-BFFB-48D0-8F90-7D1D5150242B}"/>
    <hyperlink ref="C11" r:id="rId9" display="https://tempo-sp.com/vault/files/Tempo_LKO_Brochure_Dec2018.pdf" xr:uid="{E8FFFF81-5A50-43A0-81A2-A532F0A291ED}"/>
    <hyperlink ref="C12" r:id="rId10" display="https://tempo-sp.com/vault/files/Tempo_LKO_Brochure_Dec2018.pdf" xr:uid="{A12D8233-C74A-480A-941E-5612D22C917D}"/>
    <hyperlink ref="C13" r:id="rId11" display="https://tempo-sp.com/vault/files/Tempo_LKO_Brochure_Feb19.pdf" xr:uid="{0B84645B-0789-45AB-9384-E6D8E3FB9378}"/>
    <hyperlink ref="C14" r:id="rId12" display="https://tempo-sp.com/vault/files/Tempo_LKO_Brochure_Feb19.pdf" xr:uid="{86A92C24-423A-45A3-AB22-3E6A87A56E05}"/>
    <hyperlink ref="C15" r:id="rId13" display="https://tempo-sp.com/vault/files/Tempo_LKO_Brochure_Feb19.pdf" xr:uid="{F9E7FD96-BE4B-4522-AF8F-524F2C7A628C}"/>
    <hyperlink ref="C16" r:id="rId14" display="https://tempo-sp.com/vault/files/Tempo_LKO_Brochure_Apr19-1.pdf" xr:uid="{5DF9061F-3989-40B9-82B7-2CAF3C4EFBD5}"/>
    <hyperlink ref="C17" r:id="rId15" display="https://tempo-sp.com/vault/files/Tempo_LKO_Brochure_June19-1.pdf" xr:uid="{8689B2C9-1CFB-40BD-BD58-A141C0B700F5}"/>
    <hyperlink ref="C18" r:id="rId16" display="https://tempo-sp.com/vault/files/Tempo_LKO_Brochure_Aug19.pdf" xr:uid="{342D75DA-1C3D-4E76-958B-D2A3B65CE9D0}"/>
    <hyperlink ref="C19" r:id="rId17" display="https://tempo-sp.com/vault/files/Tempo_LKO_Brochure_Feb20-1.pdf" xr:uid="{EAB738CE-B00B-47E2-B7C0-4102D6F444B1}"/>
    <hyperlink ref="C20" r:id="rId18" display="https://tempo-sp.com/vault/files/Tempo_LKO_Brochure_Feb20-1.pdf" xr:uid="{84F36F42-8986-439A-9FB8-E7F06954C34B}"/>
    <hyperlink ref="C21" r:id="rId19" display="https://tempo-sp.com/vault/files/Tempo_LKO_Brochure_Feb20-1.pdf" xr:uid="{B0ACBF7B-B24A-4230-B188-F6E19B00D7F6}"/>
    <hyperlink ref="C22" r:id="rId20" display="https://tempo-sp.com/vault/files/Tempo_LKO_Brochure_Apr20.pdf" xr:uid="{7154EE97-5AA3-4E56-B226-AD5AA433AB40}"/>
    <hyperlink ref="C23" r:id="rId21" display="https://tempo-sp.com/vault/files/Tempo_LKO_Brochure_Apr20.pdf" xr:uid="{062A1FA6-CB94-45FD-B460-86FC4155E7A0}"/>
    <hyperlink ref="C24" r:id="rId22" display="https://tempo-sp.com/vault/files/Tempo_LKO_Brochure_Apr20.pdf" xr:uid="{F1849AFE-F506-43C2-A6FF-E26DC121C5E1}"/>
    <hyperlink ref="C25" r:id="rId23" display="https://tempo-sp.com/vault/files/Tempo_LKO_Brochure_June20.pdf" xr:uid="{E4147E46-9BD9-47CA-A7D7-44F29B2E16CE}"/>
    <hyperlink ref="C26" r:id="rId24" display="https://tempo-sp.com/vault/files/Tempo_LKO_Brochure_June20.pdf" xr:uid="{A5BF858F-A515-45E8-9502-2157DDBD0F1D}"/>
    <hyperlink ref="C27" r:id="rId25" display="https://tempo-sp.com/vault/files/Tempo_LKO_Brochure_June20.pdf" xr:uid="{0077166B-9D67-425C-A7BC-B1F058F51FE3}"/>
    <hyperlink ref="C28" r:id="rId26" display="https://tempo-sp.com/vault/files/Tempo_LKO_Brochure_June20_PART2-1.pdf" xr:uid="{14914997-F577-47CA-8E2E-A948BE9B19F2}"/>
    <hyperlink ref="C29" r:id="rId27" display="https://tempo-sp.com/vault/files/Tempo_LKO_Brochure_June20_PART2-1.pdf" xr:uid="{F354E2BD-4F28-41DA-8FF5-1CE050C7D230}"/>
    <hyperlink ref="E3" r:id="rId28" display="https://tempo-sp.com/vault/files/Tempo_Issue-1_LKO1_Maturity-performance-and-comparison.pdf" xr:uid="{CD084D4D-0DE3-46D8-9731-0115E67C4E7E}"/>
    <hyperlink ref="E4" r:id="rId29" display="https://tempo-sp.com/vault/files/Tempo_Issue-2_LKO1_Maturity-performance-and-comparison.pdf" xr:uid="{40643E5D-FDBB-4FA4-841D-66A03544D5E8}"/>
    <hyperlink ref="E5" r:id="rId30" display="https://tempo-sp.com/vault/files/Tempo_Issue-2_LKO2_Maturity-performance-and-comparison.pdf" xr:uid="{8875D478-193D-4EA4-9900-ADAA57F31748}"/>
    <hyperlink ref="E6" r:id="rId31" display="https://tempo-sp.com/vault/files/Tempo_Issue-3_LKO3_Maturity-performance-and-comparison.pdf" xr:uid="{B525ED17-AE1A-4ECA-8BAE-2C3C481C8428}"/>
    <hyperlink ref="E7" r:id="rId32" display="https://tempo-sp.com/vault/files/Tempo_Issue-3_LKO1_Maturity-performance-and-comparison.pdf" xr:uid="{7B819B1F-82A6-4839-A06D-057B4DB5916D}"/>
    <hyperlink ref="E8" r:id="rId33" display="https://tempo-sp.com/vault/files/Tempo_Issue-3_LKO2_Maturity-performance-and-comparison.pdf" xr:uid="{08D59044-6E07-4910-A0C8-17E144521ACF}"/>
    <hyperlink ref="E9" r:id="rId34" display="https://tempo-sp.com/vault/files/Tempo_Issue-3_LKO3_Maturity-performance-and-comparison.pdf" xr:uid="{45D5EF29-66CE-4F36-99C3-E7A80CA80B70}"/>
    <hyperlink ref="E10" r:id="rId35" display="https://tempo-sp.com/vault/files/Tempo_Issue-4_LKO1_Maturity-performance-and-comparison.pdf" xr:uid="{1ACB7278-1095-4BE3-97FC-AE44A8F97084}"/>
    <hyperlink ref="E11" r:id="rId36" display="https://tempo-sp.com/vault/files/Tempo_Issue-4_LKO2_Maturity-performance-and-comparison-1.pdf" xr:uid="{B040F9AF-0FE8-4927-9348-C33893CEDD45}"/>
    <hyperlink ref="E12" r:id="rId37" display="https://tempo-sp.com/vault/files/Tempo_Issue-4_LKO3_Maturity-performance-and-comparison.pdf" xr:uid="{6CC77519-6958-4B72-A7A4-C617287C8FFD}"/>
    <hyperlink ref="E15" r:id="rId38" display="https://tempo-sp.com/vault/files/Tempo_Issue-5_LKO3_Maturity-performance-and-comparison.pdf" xr:uid="{0EEC71CF-E2C1-4553-BE11-0A2C6A79809B}"/>
    <hyperlink ref="E14" r:id="rId39" display="https://tempo-sp.com/vault/files/Tempo_Issue-5_LKO2_Maturity-performance-and-comparison.pdf" xr:uid="{48F8D85F-324B-46F8-B000-BB84C5279425}"/>
    <hyperlink ref="E13" r:id="rId40" display="https://tempo-sp.com/vault/files/Tempo_Issue-5_LKO1_Maturity-performance-and-comparison.pdf" xr:uid="{B5949028-BB2A-4EDA-ACEF-E0EB06A686DE}"/>
    <hyperlink ref="E16" r:id="rId41" display="https://tempo-sp.com/vault/files/Tempo_Issue-6_LKO1_Maturity-performance-and-comparison.pdf" xr:uid="{41C7C43B-157D-47D6-8748-5B3E14CB8673}"/>
    <hyperlink ref="E17" r:id="rId42" display="https://tempo-sp.com/vault/files/Tempo_Issue-7_LKO1_Maturity-performance-and-comparison.pdf" xr:uid="{E7ACE313-7E07-45C5-9013-AFF09FD137F2}"/>
    <hyperlink ref="E18" r:id="rId43" display="https://tempo-sp.com/vault/files/Tempo_Issue-8_LKO1_Maturity-performance-and-comparison.pdf" xr:uid="{966C6A5D-EC7B-4F7A-8520-FDBF1B48067C}"/>
    <hyperlink ref="D18" r:id="rId44" display="https://tempo-sp.com/vault/files/Tempo_LKO_Opt1_IfThen_aug19.pdf" xr:uid="{4BA87A92-4886-41CC-8812-38F36ED50459}"/>
    <hyperlink ref="E19" r:id="rId45" display="https://tempo-sp.com/vault/files/Tempo_Issue-11_LKO1_Maturity-performance-and-comparison.pdf" xr:uid="{00ADF62C-0C96-4BB4-AB37-5E27EA5DFD97}"/>
    <hyperlink ref="E20" r:id="rId46" display="https://tempo-sp.com/vault/files/Tempo_Issue-11_LKO2_Maturity-performance-and-comparison.pdf" xr:uid="{8763D2DE-862F-4B96-89B0-807E8833567A}"/>
    <hyperlink ref="E21" r:id="rId47" display="https://tempo-sp.com/vault/files/Tempo_Issue-11_LKO3_Maturity-performance-and-comparison.pdf" xr:uid="{C2A43892-AFFC-4899-8197-0D7151DC0A30}"/>
    <hyperlink ref="E22" r:id="rId48" display="https://tempo-sp.com/vault/files/Tempo_Issue-12_LKO1_Maturity-performance-and-comparison.pdf" xr:uid="{E447C6A6-785A-46DE-8D24-DF9C70B42B65}"/>
    <hyperlink ref="E23" r:id="rId49" display="https://tempo-sp.com/vault/files/Tempo_Issue-12_LKO2_Maturity-performance-and-comparison.pdf" xr:uid="{233A9F67-FDB4-422F-AD46-1DFCC6837BA6}"/>
    <hyperlink ref="E24" r:id="rId50" display="https://tempo-sp.com/vault/files/Tempo_Issue-12_LKO3_Maturity-performance-and-comparison.pdf" xr:uid="{8EB45D50-34EB-47D9-A45F-3CF52CB4F9B8}"/>
    <hyperlink ref="E25" r:id="rId51" display="https://tempo-sp.com/vault/files/Tempo_Issue-13_LKO1_Maturity-performance-and-comparison.pdf" xr:uid="{3539988A-E007-42F2-ADB8-6AE93637A368}"/>
    <hyperlink ref="E26" r:id="rId52" display="https://tempo-sp.com/vault/files/Tempo_Issue-13_LKO2_Maturity-performance-and-comparison.pdf" xr:uid="{1CBD372D-F915-4A61-9F69-3E1A90B98D89}"/>
    <hyperlink ref="E27" r:id="rId53" display="https://tempo-sp.com/vault/files/Tempo_Issue-13_LKO3_Maturity-performance-and-comparison.pdf" xr:uid="{D9E279CA-07FC-41EE-8BE3-60B6A4AF3155}"/>
    <hyperlink ref="E28" r:id="rId54" display="https://tempo-sp.com/vault/files/Tempo_Issue-13.2_LKO2_Maturity-performance-and-comparison.pdf" xr:uid="{2AD27D63-055A-4817-AC00-14CFDD17B865}"/>
    <hyperlink ref="E29" r:id="rId55" display="https://tempo-sp.com/vault/files/Tempo_Issue-13.2_LKO3_Maturity-performance-and-comparison.pdf" xr:uid="{610B499D-D13D-4110-98DC-8E2C680BC4C0}"/>
    <hyperlink ref="D19" r:id="rId56" display="https://tempo-sp.com/vault/files/Tempo_LKO_IfThen_Opt1_Feb20.pdf" xr:uid="{77EC8A18-91F3-4534-B91D-56B255DB5F52}"/>
    <hyperlink ref="D20" r:id="rId57" display="https://tempo-sp.com/vault/files/Tempo_LKO_IfThen_Opt2_Feb20.pdf" xr:uid="{B466300B-76C0-4429-83EA-32CA93F00D42}"/>
    <hyperlink ref="D21" r:id="rId58" display="https://tempo-sp.com/vault/files/Tempo_LKO_IfThen_Opt3_Feb20.pdf" xr:uid="{113B6DFA-7542-430F-80B1-D8224E602B55}"/>
    <hyperlink ref="D22" r:id="rId59" display="https://tempo-sp.com/vault/files/Tempo_LKO_IfThen_Opt1_Apr20.pdf" xr:uid="{808853B1-A684-4830-94FE-9642F4734CAA}"/>
    <hyperlink ref="D23" r:id="rId60" display="https://tempo-sp.com/vault/files/Tempo_LKO_IfThen_Opt2_Apr20.pdf" xr:uid="{9A98974B-E3A9-4F31-9535-7001EDB4E026}"/>
    <hyperlink ref="D24" r:id="rId61" display="https://tempo-sp.com/vault/files/Tempo_LKO_IfThen_Opt3_Apr20.pdf" xr:uid="{0AD07BA7-0FB1-401E-BF2C-93F3D124FDA5}"/>
    <hyperlink ref="D25" r:id="rId62" display="https://tempo-sp.com/vault/files/Tempo_LKO_Opt1_IfThen_June2020.pdf" xr:uid="{D720000D-1FCC-4A8C-B17F-DE9567971C0E}"/>
    <hyperlink ref="D26" r:id="rId63" display="https://tempo-sp.com/vault/files/Tempo_LKO_Opt2_IfThen_June2020.pdf" xr:uid="{E93DA2B9-ED80-4055-8929-82ACEB3E9E0B}"/>
    <hyperlink ref="D27" r:id="rId64" display="https://tempo-sp.com/vault/files/Tempo_LKO_Opt3_IfThen_June2020.pdf" xr:uid="{A5FD5CCE-1ACB-48D9-A5E9-35333F7F7FE8}"/>
    <hyperlink ref="D28" r:id="rId65" display="https://tempo-sp.com/vault/files/Tempo_LKO_Opt2_IfThen_June20_PART2.pdf" xr:uid="{31E03A02-F641-4FC4-84DA-1F1581523617}"/>
    <hyperlink ref="D29" r:id="rId66" display="https://tempo-sp.com/vault/files/Tempo_LKO_Opt3_IfThen_June20_Part2.pdf" xr:uid="{61FD477C-8067-498F-9D88-734E15F540C1}"/>
    <hyperlink ref="E30" r:id="rId67" display="https://tempo-sp.com/vault/files/Tempo_BLKO2_Maturity-performance-and-comparison.pdf" xr:uid="{A4E74260-804E-4A45-9DBD-03102F84E50F}"/>
    <hyperlink ref="C30" r:id="rId68" display="https://tempo-sp.com/vault/files/Tempo_Bespoke_LKO_Opt2_Brochure_June20.pdf" xr:uid="{42B783CF-285E-4CF9-A2DF-F4DBEE57AD4E}"/>
    <hyperlink ref="D30" r:id="rId69" display="https://tempo-sp.com/vault/files/Tempo_Bespoke_LKO_Opt2_IfThen_June20.pdf" xr:uid="{32A02B03-BCD1-41AA-BD85-559970393AE0}"/>
    <hyperlink ref="E31" r:id="rId70" display="https://tempo-sp.com/vault/files/Tempo_Issue-13_BLKO3_Maturity-performance-and-comparison.pdf" xr:uid="{4DE29F5E-355D-40A8-94CD-EE0019C7BDAD}"/>
    <hyperlink ref="C31" r:id="rId71" display="https://tempo-sp.com/vault/files/Tempo_Bespoke_LKO_Opt3_Brochure_June20.pdf" xr:uid="{E31E7005-4190-4D2A-A588-3293EE4C91A1}"/>
    <hyperlink ref="D31" r:id="rId72" display="https://tempo-sp.com/vault/files/Tempo_Bespoke_LKO_Opt3_Ifthen_June20.pdf" xr:uid="{C5F5DA51-C7D3-42BD-BBC5-2920BEF81A65}"/>
    <hyperlink ref="C32" r:id="rId73" display="https://tempo-sp.com/vault/files/Tempo_LKO_Brochure_July20.pdf" xr:uid="{2E1BD3A3-E53B-4A4D-A593-ED8F4C503626}"/>
    <hyperlink ref="C33" r:id="rId74" display="https://tempo-sp.com/vault/files/Tempo_LKO_Brochure_July20.pdf" xr:uid="{5E65C565-F425-4AFD-91DF-69BEE00615E2}"/>
    <hyperlink ref="C34" r:id="rId75" display="https://tempo-sp.com/vault/files/Tempo_LKO_Brochure_July20.pdf" xr:uid="{A030426D-88CE-4FA2-9E0C-F01B4722D9F5}"/>
    <hyperlink ref="D32" r:id="rId76" display="https://tempo-sp.com/vault/files/Tempo_LKO_Opt1_IfThen_July20.pdf" xr:uid="{DEC27388-ABEB-45A0-973B-3E5FD852EB1C}"/>
    <hyperlink ref="D33" r:id="rId77" display="https://tempo-sp.com/vault/files/Tempo_LKO_Opt2_IfThen_July20.pdf" xr:uid="{B28A126B-5E91-4180-B0AF-086BDF7B2704}"/>
    <hyperlink ref="D34" r:id="rId78" display="https://tempo-sp.com/vault/files/Tempo_LKO_Opt3_IfThen_July20.pdf" xr:uid="{46B10840-65B1-45D3-95D7-4D72B2C990CC}"/>
    <hyperlink ref="E32" r:id="rId79" display="https://tempo-sp.com/vault/files/Tempo_Issue-14_LKO1_Maturity-performance-and-comparison.pdf" xr:uid="{DB318994-186D-4E4C-B8F2-3B4763189A4F}"/>
    <hyperlink ref="E33" r:id="rId80" display="https://tempo-sp.com/vault/files/Tempo_Issue-14_LKO2_Maturity-performance-and-comparison.pdf" xr:uid="{54970BB1-94DA-49FE-AFFB-68DF5A94B62E}"/>
    <hyperlink ref="E34" r:id="rId81" display="https://tempo-sp.com/vault/files/Tempo_Issue-14_LKO3_Maturity-performance-and-comparison.pdf" xr:uid="{19FCC861-9CAB-4FD1-B83F-3A391AFA177C}"/>
    <hyperlink ref="C35" r:id="rId82" xr:uid="{6CCC7968-D51C-42E3-AE8B-9F61CAE7D875}"/>
    <hyperlink ref="C36" r:id="rId83" xr:uid="{15423F23-129A-4319-8BAD-2FFB9A997907}"/>
    <hyperlink ref="C37" r:id="rId84" xr:uid="{53F48EE2-E447-4CED-AB65-7390899921E4}"/>
    <hyperlink ref="D37" r:id="rId85" xr:uid="{F38D7815-290D-4CDA-97F4-262C38845FFC}"/>
    <hyperlink ref="D36" r:id="rId86" xr:uid="{FC802639-3A03-4188-B829-DBE85A208E5C}"/>
    <hyperlink ref="D35" r:id="rId87" xr:uid="{6D8B5B9F-4F5A-47C2-8D12-BECD195507AD}"/>
    <hyperlink ref="E35" r:id="rId88" xr:uid="{2C9F80E8-DE62-4E59-8218-54C995F02AF4}"/>
    <hyperlink ref="E36" r:id="rId89" xr:uid="{AE003C67-1D67-4D14-B180-D2062472EAEC}"/>
    <hyperlink ref="E37" r:id="rId90" xr:uid="{1EA15B12-1DCF-4C00-A821-DC5608C1B096}"/>
    <hyperlink ref="C38" r:id="rId91" xr:uid="{56009FB8-207C-4AF0-BB0D-058D90176B8B}"/>
    <hyperlink ref="C39" r:id="rId92" xr:uid="{59657BA5-1019-42B3-A13E-8981701DAD1C}"/>
    <hyperlink ref="D38" r:id="rId93" xr:uid="{126435F2-08EC-4602-A2A1-CF561E62B9EC}"/>
    <hyperlink ref="D39" r:id="rId94" xr:uid="{E8CB6410-E437-4F87-87B5-BCCC770A4E85}"/>
    <hyperlink ref="E38" r:id="rId95" xr:uid="{AF23B43E-D553-40BA-BDA8-AA5700A482E3}"/>
    <hyperlink ref="E39" r:id="rId96" xr:uid="{27204DD6-073E-44F4-A429-11993B29C20C}"/>
    <hyperlink ref="E40" r:id="rId97" xr:uid="{AD0D05D8-64C8-47F6-B138-205C0C750EAC}"/>
    <hyperlink ref="C40" r:id="rId98" xr:uid="{F8E90970-9534-4992-8596-8377D5330FE7}"/>
    <hyperlink ref="D40" r:id="rId99" xr:uid="{BC5CF739-8EDA-4F69-9955-E47C3D1D6A0F}"/>
    <hyperlink ref="C41" r:id="rId100" display="https://tempo-sp.com/vault/files/Tempo_LKO_Brochure_Apr19-1.pdf" xr:uid="{5F325543-37F4-4AC8-B22C-28BE09A36475}"/>
    <hyperlink ref="E41" r:id="rId101" xr:uid="{4093955A-397C-4033-8848-F996600C3362}"/>
    <hyperlink ref="C42" r:id="rId102" xr:uid="{ADE4A41A-62E6-4AD4-A255-D1193AF280A6}"/>
    <hyperlink ref="E42" r:id="rId103" xr:uid="{0366AD61-366D-4FA1-9281-9F116281555E}"/>
    <hyperlink ref="C44" r:id="rId104" xr:uid="{A2103C2C-F099-4DF0-ACA1-EA8FDE86BE31}"/>
    <hyperlink ref="E44" r:id="rId105" xr:uid="{BB5AA3D3-E9D1-4FF9-ACB7-7839966DFD7B}"/>
    <hyperlink ref="E45" r:id="rId106" xr:uid="{5BDB3D25-DC71-443F-B60B-ED27287FD1A4}"/>
    <hyperlink ref="C45" r:id="rId107" xr:uid="{AF4984AF-1047-4582-B367-198512B00304}"/>
    <hyperlink ref="D42:D45" r:id="rId108" display="If / then" xr:uid="{4656BE68-A4A0-4692-B3A1-DD280CBA38C1}"/>
    <hyperlink ref="D44" r:id="rId109" xr:uid="{18A7775B-C7B0-4AFA-920B-825D8258204D}"/>
    <hyperlink ref="D45" r:id="rId110" xr:uid="{25A77748-518F-4BFF-95B1-1A579CAC2CAA}"/>
  </hyperlinks>
  <pageMargins left="0.7" right="0.7" top="0.75" bottom="0.75" header="0.3" footer="0.3"/>
  <pageSetup paperSize="9" orientation="portrait" r:id="rId11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3D834-06F6-4F92-A782-CAB46970AD76}">
  <dimension ref="A1:AK24"/>
  <sheetViews>
    <sheetView zoomScale="90" zoomScaleNormal="90" workbookViewId="0">
      <pane xSplit="2" ySplit="2" topLeftCell="I3" activePane="bottomRight" state="frozen"/>
      <selection pane="topRight" activeCell="C1" sqref="C1"/>
      <selection pane="bottomLeft" activeCell="A3" sqref="A3"/>
      <selection pane="bottomRight" activeCell="M35" sqref="M35"/>
    </sheetView>
  </sheetViews>
  <sheetFormatPr defaultRowHeight="14.5" x14ac:dyDescent="0.35"/>
  <cols>
    <col min="1" max="1" width="3.81640625" style="19" customWidth="1"/>
    <col min="2" max="2" width="19.1796875" customWidth="1"/>
    <col min="3" max="3" width="16" customWidth="1"/>
    <col min="4" max="4" width="15" customWidth="1"/>
    <col min="5" max="5" width="12.1796875" customWidth="1"/>
    <col min="6" max="7" width="11.81640625" bestFit="1" customWidth="1"/>
    <col min="8" max="8" width="11.1796875" bestFit="1" customWidth="1"/>
    <col min="9" max="9" width="14.81640625" customWidth="1"/>
    <col min="10" max="10" width="18" customWidth="1"/>
    <col min="11" max="12" width="14.81640625" customWidth="1"/>
    <col min="13" max="13" width="20.453125" customWidth="1"/>
    <col min="14" max="14" width="26.81640625" customWidth="1"/>
    <col min="15" max="15" width="17.1796875" customWidth="1"/>
    <col min="16" max="16" width="12" customWidth="1"/>
    <col min="17" max="17" width="19.453125" customWidth="1"/>
    <col min="18" max="18" width="16" customWidth="1"/>
    <col min="19" max="19" width="15.81640625" customWidth="1"/>
    <col min="20" max="22" width="14.1796875" customWidth="1"/>
    <col min="23" max="23" width="21.1796875" bestFit="1" customWidth="1"/>
    <col min="24" max="24" width="12.453125" customWidth="1"/>
    <col min="25" max="25" width="21.1796875" customWidth="1"/>
    <col min="26" max="26" width="21.54296875" bestFit="1" customWidth="1"/>
    <col min="27" max="27" width="31.81640625" customWidth="1"/>
    <col min="28" max="28" width="18" customWidth="1"/>
    <col min="29" max="29" width="16.81640625" customWidth="1"/>
    <col min="30" max="30" width="20.453125" customWidth="1"/>
    <col min="31" max="31" width="21" customWidth="1"/>
    <col min="32" max="32" width="18.54296875" customWidth="1"/>
    <col min="33" max="33" width="23.54296875" customWidth="1"/>
  </cols>
  <sheetData>
    <row r="1" spans="1:37" ht="15" thickBot="1" x14ac:dyDescent="0.4">
      <c r="A1" s="344" t="s">
        <v>126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6"/>
    </row>
    <row r="2" spans="1:37" ht="45" customHeight="1" thickBot="1" x14ac:dyDescent="0.4">
      <c r="A2" s="21"/>
      <c r="B2" s="10" t="s">
        <v>41</v>
      </c>
      <c r="C2" s="10" t="s">
        <v>42</v>
      </c>
      <c r="D2" s="172" t="s">
        <v>127</v>
      </c>
      <c r="E2" s="15" t="s">
        <v>44</v>
      </c>
      <c r="F2" s="10" t="s">
        <v>45</v>
      </c>
      <c r="G2" s="8" t="s">
        <v>46</v>
      </c>
      <c r="H2" s="9" t="s">
        <v>47</v>
      </c>
      <c r="I2" s="9" t="s">
        <v>48</v>
      </c>
      <c r="J2" s="15" t="s">
        <v>49</v>
      </c>
      <c r="K2" s="10" t="s">
        <v>50</v>
      </c>
      <c r="L2" s="14" t="s">
        <v>51</v>
      </c>
      <c r="M2" s="9" t="s">
        <v>52</v>
      </c>
      <c r="N2" s="9" t="s">
        <v>53</v>
      </c>
      <c r="O2" s="9" t="s">
        <v>54</v>
      </c>
      <c r="P2" s="9" t="s">
        <v>55</v>
      </c>
      <c r="Q2" s="9" t="s">
        <v>56</v>
      </c>
      <c r="R2" s="9" t="s">
        <v>57</v>
      </c>
      <c r="S2" s="10" t="s">
        <v>58</v>
      </c>
      <c r="T2" s="10" t="s">
        <v>59</v>
      </c>
      <c r="U2" s="10" t="s">
        <v>128</v>
      </c>
      <c r="V2" s="10" t="s">
        <v>129</v>
      </c>
      <c r="W2" s="10" t="s">
        <v>62</v>
      </c>
      <c r="X2" s="10" t="s">
        <v>63</v>
      </c>
      <c r="Y2" s="10" t="s">
        <v>64</v>
      </c>
      <c r="Z2" s="10" t="s">
        <v>65</v>
      </c>
      <c r="AA2" s="10" t="s">
        <v>66</v>
      </c>
      <c r="AB2" s="10" t="s">
        <v>67</v>
      </c>
      <c r="AC2" s="10" t="s">
        <v>68</v>
      </c>
      <c r="AD2" s="15" t="s">
        <v>69</v>
      </c>
      <c r="AE2" s="10" t="s">
        <v>70</v>
      </c>
      <c r="AF2" s="10" t="s">
        <v>71</v>
      </c>
      <c r="AG2" s="52" t="s">
        <v>72</v>
      </c>
    </row>
    <row r="3" spans="1:37" x14ac:dyDescent="0.35">
      <c r="A3" s="25">
        <v>4</v>
      </c>
      <c r="B3" s="177" t="s">
        <v>80</v>
      </c>
      <c r="C3" s="167" t="s">
        <v>74</v>
      </c>
      <c r="D3" s="169" t="s">
        <v>75</v>
      </c>
      <c r="E3" s="168" t="s">
        <v>44</v>
      </c>
      <c r="F3" s="311">
        <f>VLOOKUP($A3,'All LKO plans'!$A$3:$AG$29,'LKO &gt;100% of start level'!F$24+1)</f>
        <v>43336</v>
      </c>
      <c r="G3" s="304">
        <f>VLOOKUP($A3,'All LKO plans'!$A$3:$AG$29,'LKO &gt;100% of start level'!G$24+1)</f>
        <v>44432</v>
      </c>
      <c r="H3" s="40">
        <f>VLOOKUP($A3,'All LKO plans'!$A$3:$AG$29,'LKO &gt;100% of start level'!H$24+1)</f>
        <v>1042.0999999999999</v>
      </c>
      <c r="I3" s="1">
        <f>VLOOKUP($A3,'All LKO plans'!$A$3:$AG$29,'LKO &gt;100% of start level'!I$24+1)</f>
        <v>0.6</v>
      </c>
      <c r="J3" s="3">
        <f>VLOOKUP($A3,'All LKO plans'!$A$3:$AG$29,'LKO &gt;100% of start level'!J$24+1)</f>
        <v>0.4</v>
      </c>
      <c r="K3" s="83">
        <f>VLOOKUP($A3,'All LKO plans'!$A$3:$AG$29,'LKO &gt;100% of start level'!K$24+1)</f>
        <v>625.25999999999988</v>
      </c>
      <c r="L3" s="88">
        <f>VLOOKUP($A3,'All LKO plans'!$A$3:$AG$29,'LKO &gt;100% of start level'!L$24+1)</f>
        <v>0.1075</v>
      </c>
      <c r="M3" s="86">
        <f>VLOOKUP($A3,'All LKO plans'!$A$3:$AG$29,'LKO &gt;100% of start level'!M$24+1)</f>
        <v>1</v>
      </c>
      <c r="N3" s="3">
        <f>VLOOKUP($A3,'All LKO plans'!$A$3:$AG$29,'LKO &gt;100% of start level'!N$24+1)</f>
        <v>1</v>
      </c>
      <c r="O3" s="3">
        <f>VLOOKUP($A3,'All LKO plans'!$A$3:$AG$29,'LKO &gt;100% of start level'!O$24+1)</f>
        <v>1</v>
      </c>
      <c r="P3" s="28">
        <f>VLOOKUP($A3,'All LKO plans'!$A$3:$AG$29,'LKO &gt;100% of start level'!P$24+1)</f>
        <v>3</v>
      </c>
      <c r="Q3" s="5">
        <f>VLOOKUP($A3,'All LKO plans'!$A$3:$AG$29,'LKO &gt;100% of start level'!Q$24+1)</f>
        <v>1042.0999999999999</v>
      </c>
      <c r="R3" s="5">
        <f>VLOOKUP($A3,'All LKO plans'!$A$3:$AG$29,'LKO &gt;100% of start level'!R$24+1)</f>
        <v>1073.75</v>
      </c>
      <c r="S3" s="92">
        <f>VLOOKUP($A3,'All LKO plans'!$A$3:$AG$29,'LKO &gt;100% of start level'!S$24+1)</f>
        <v>1.0303713655119471</v>
      </c>
      <c r="T3" s="151">
        <f>VLOOKUP($A3,'All LKO plans'!$A$3:$AG$29,'LKO &gt;100% of start level'!T$24+1)</f>
        <v>0.32250000000000001</v>
      </c>
      <c r="U3" s="118">
        <f>T3/3</f>
        <v>0.1075</v>
      </c>
      <c r="V3" s="152">
        <f>(((1+(U3*P3))/1)^(1/P3)-1)</f>
        <v>9.7653399825005982E-2</v>
      </c>
      <c r="W3" s="31">
        <f>VLOOKUP($A3,'All LKO plans'!$A$3:$AG$29,'LKO &gt;100% of start level'!W$24+1)</f>
        <v>0</v>
      </c>
      <c r="X3" s="31">
        <f>VLOOKUP($A3,'All LKO plans'!$A$3:$AG$29,'LKO &gt;100% of start level'!X$24+1)</f>
        <v>1</v>
      </c>
      <c r="Y3" s="31">
        <f>VLOOKUP($A3,'All LKO plans'!$A$3:$AG$29,'LKO &gt;100% of start level'!Y$24+1)</f>
        <v>0</v>
      </c>
      <c r="Z3" s="31" t="str">
        <f>VLOOKUP($A3,'All LKO plans'!$A$3:$AG$29,'LKO &gt;100% of start level'!Z$24+1)</f>
        <v>Daily / No charge</v>
      </c>
      <c r="AA3" s="98">
        <f>VLOOKUP($A3,'All LKO plans'!$A$3:$AG$29,'LKO &gt;100% of start level'!AA$24+1)</f>
        <v>4.7199999999999999E-2</v>
      </c>
      <c r="AB3" s="105">
        <f>VLOOKUP($A3,'All LKO plans'!$A$3:$AG$29,'LKO &gt;100% of start level'!AB$24+1)</f>
        <v>0.27529999999999999</v>
      </c>
      <c r="AC3" s="105">
        <f>VLOOKUP($A3,'All LKO plans'!$A$3:$AG$29,'LKO &gt;100% of start level'!AC$24+1)</f>
        <v>8.4436483127574347E-2</v>
      </c>
      <c r="AD3" s="101">
        <f>VLOOKUP($A3,'All LKO plans'!$A$3:$AG$29,'LKO &gt;100% of start level'!AD$24+1)</f>
        <v>3.0371365511947079E-2</v>
      </c>
      <c r="AE3" s="50">
        <f>VLOOKUP($A3,'All LKO plans'!$A$3:$AG$29,'LKO &gt;100% of start level'!AE$24+1)</f>
        <v>3.0371365511947079E-2</v>
      </c>
      <c r="AF3" s="72">
        <f>VLOOKUP($A3,'All LKO plans'!$A$3:$AG$29,'LKO &gt;100% of start level'!AF$24+1)</f>
        <v>1.075</v>
      </c>
      <c r="AG3" s="35">
        <f>VLOOKUP($A3,'All LKO plans'!$A$3:$AG$29,'LKO &gt;100% of start level'!AG$24+1)</f>
        <v>0.4303713655119471</v>
      </c>
    </row>
    <row r="4" spans="1:37" x14ac:dyDescent="0.35">
      <c r="A4" s="25">
        <v>7</v>
      </c>
      <c r="B4" s="177" t="s">
        <v>83</v>
      </c>
      <c r="C4" s="167" t="s">
        <v>74</v>
      </c>
      <c r="D4" s="169" t="s">
        <v>75</v>
      </c>
      <c r="E4" s="168" t="s">
        <v>44</v>
      </c>
      <c r="F4" s="311">
        <f>VLOOKUP($A4,'All LKO plans'!$A$3:$AG$29,'LKO &gt;100% of start level'!F$24+1)</f>
        <v>43399</v>
      </c>
      <c r="G4" s="305">
        <f>VLOOKUP($A4,'All LKO plans'!$A$3:$AG$29,'LKO &gt;100% of start level'!G$24+1)</f>
        <v>44495</v>
      </c>
      <c r="H4" s="40">
        <f>VLOOKUP($A4,'All LKO plans'!$A$3:$AG$29,'LKO &gt;100% of start level'!H$24+1)</f>
        <v>929.79</v>
      </c>
      <c r="I4" s="1">
        <f>VLOOKUP($A4,'All LKO plans'!$A$3:$AG$29,'LKO &gt;100% of start level'!I$24+1)</f>
        <v>0.6</v>
      </c>
      <c r="J4" s="3">
        <f>VLOOKUP($A4,'All LKO plans'!$A$3:$AG$29,'LKO &gt;100% of start level'!J$24+1)</f>
        <v>0.4</v>
      </c>
      <c r="K4" s="83">
        <f>VLOOKUP($A4,'All LKO plans'!$A$3:$AG$29,'LKO &gt;100% of start level'!K$24+1)</f>
        <v>557.87399999999991</v>
      </c>
      <c r="L4" s="89">
        <f>VLOOKUP($A4,'All LKO plans'!$A$3:$AG$29,'LKO &gt;100% of start level'!L$24+1)</f>
        <v>0.111</v>
      </c>
      <c r="M4" s="86">
        <f>VLOOKUP($A4,'All LKO plans'!$A$3:$AG$29,'LKO &gt;100% of start level'!M$24+1)</f>
        <v>1</v>
      </c>
      <c r="N4" s="3">
        <f>VLOOKUP($A4,'All LKO plans'!$A$3:$AG$29,'LKO &gt;100% of start level'!N$24+1)</f>
        <v>1</v>
      </c>
      <c r="O4" s="3">
        <f>VLOOKUP($A4,'All LKO plans'!$A$3:$AG$29,'LKO &gt;100% of start level'!O$24+1)</f>
        <v>1</v>
      </c>
      <c r="P4" s="28">
        <f>VLOOKUP($A4,'All LKO plans'!$A$3:$AG$29,'LKO &gt;100% of start level'!P$24+1)</f>
        <v>3</v>
      </c>
      <c r="Q4" s="5">
        <f>VLOOKUP($A4,'All LKO plans'!$A$3:$AG$29,'LKO &gt;100% of start level'!Q$24+1)</f>
        <v>929.79</v>
      </c>
      <c r="R4" s="5">
        <f>VLOOKUP($A4,'All LKO plans'!$A$3:$AG$29,'LKO &gt;100% of start level'!R$24+1)</f>
        <v>1061.6300000000001</v>
      </c>
      <c r="S4" s="92">
        <f>VLOOKUP($A4,'All LKO plans'!$A$3:$AG$29,'LKO &gt;100% of start level'!S$24+1)</f>
        <v>1.1417954591897097</v>
      </c>
      <c r="T4" s="150">
        <f>VLOOKUP($A4,'All LKO plans'!$A$3:$AG$29,'LKO &gt;100% of start level'!T$24+1)</f>
        <v>0.33300000000000002</v>
      </c>
      <c r="U4" s="149">
        <f t="shared" ref="U4:U11" si="0">T4/3</f>
        <v>0.111</v>
      </c>
      <c r="V4" s="71">
        <f t="shared" ref="V4:V11" si="1">(((1+(U4*P4))/1)^(1/P4)-1)</f>
        <v>0.10055068845243875</v>
      </c>
      <c r="W4" s="31">
        <f>VLOOKUP($A4,'All LKO plans'!$A$3:$AG$29,'LKO &gt;100% of start level'!W$24+1)</f>
        <v>0</v>
      </c>
      <c r="X4" s="31">
        <f>VLOOKUP($A4,'All LKO plans'!$A$3:$AG$29,'LKO &gt;100% of start level'!X$24+1)</f>
        <v>1</v>
      </c>
      <c r="Y4" s="31">
        <f>VLOOKUP($A4,'All LKO plans'!$A$3:$AG$29,'LKO &gt;100% of start level'!Y$24+1)</f>
        <v>0</v>
      </c>
      <c r="Z4" s="31" t="str">
        <f>VLOOKUP($A4,'All LKO plans'!$A$3:$AG$29,'LKO &gt;100% of start level'!Z$24+1)</f>
        <v>Daily / No charge</v>
      </c>
      <c r="AA4" s="98">
        <f>VLOOKUP($A4,'All LKO plans'!$A$3:$AG$29,'LKO &gt;100% of start level'!AA$24+1)</f>
        <v>0.1741</v>
      </c>
      <c r="AB4" s="106">
        <f>VLOOKUP($A4,'All LKO plans'!$A$3:$AG$29,'LKO &gt;100% of start level'!AB$24+1)</f>
        <v>0.15890000000000001</v>
      </c>
      <c r="AC4" s="106">
        <f>VLOOKUP($A4,'All LKO plans'!$A$3:$AG$29,'LKO &gt;100% of start level'!AC$24+1)</f>
        <v>5.0385346090463967E-2</v>
      </c>
      <c r="AD4" s="101">
        <f>VLOOKUP($A4,'All LKO plans'!$A$3:$AG$29,'LKO &gt;100% of start level'!AD$24+1)</f>
        <v>0.1417954591897097</v>
      </c>
      <c r="AE4" s="50">
        <f>VLOOKUP($A4,'All LKO plans'!$A$3:$AG$29,'LKO &gt;100% of start level'!AE$24+1)</f>
        <v>0.1417954591897097</v>
      </c>
      <c r="AF4" s="72">
        <f>VLOOKUP($A4,'All LKO plans'!$A$3:$AG$29,'LKO &gt;100% of start level'!AF$24+1)</f>
        <v>1.1100000000000001</v>
      </c>
      <c r="AG4" s="35">
        <f>VLOOKUP($A4,'All LKO plans'!$A$3:$AG$29,'LKO &gt;100% of start level'!AG$24+1)</f>
        <v>0.54179545918970973</v>
      </c>
    </row>
    <row r="5" spans="1:37" x14ac:dyDescent="0.35">
      <c r="A5" s="25">
        <v>10</v>
      </c>
      <c r="B5" s="177" t="s">
        <v>86</v>
      </c>
      <c r="C5" s="167" t="s">
        <v>74</v>
      </c>
      <c r="D5" s="169" t="s">
        <v>75</v>
      </c>
      <c r="E5" s="168" t="s">
        <v>44</v>
      </c>
      <c r="F5" s="311">
        <f>VLOOKUP($A5,'All LKO plans'!$A$3:$AG$29,'LKO &gt;100% of start level'!F$24+1)</f>
        <v>43463</v>
      </c>
      <c r="G5" s="305">
        <f>VLOOKUP($A5,'All LKO plans'!$A$3:$AG$29,'LKO &gt;100% of start level'!G$24+1)</f>
        <v>44559</v>
      </c>
      <c r="H5" s="40">
        <f>VLOOKUP($A5,'All LKO plans'!$A$3:$AG$29,'LKO &gt;100% of start level'!H$24+1)</f>
        <v>895.37</v>
      </c>
      <c r="I5" s="1">
        <f>VLOOKUP($A5,'All LKO plans'!$A$3:$AG$29,'LKO &gt;100% of start level'!I$24+1)</f>
        <v>0.6</v>
      </c>
      <c r="J5" s="3">
        <f>VLOOKUP($A5,'All LKO plans'!$A$3:$AG$29,'LKO &gt;100% of start level'!J$24+1)</f>
        <v>0.4</v>
      </c>
      <c r="K5" s="83">
        <f>VLOOKUP($A5,'All LKO plans'!$A$3:$AG$29,'LKO &gt;100% of start level'!K$24+1)</f>
        <v>537.22199999999998</v>
      </c>
      <c r="L5" s="89">
        <f>VLOOKUP($A5,'All LKO plans'!$A$3:$AG$29,'LKO &gt;100% of start level'!L$24+1)</f>
        <v>0.1275</v>
      </c>
      <c r="M5" s="86">
        <f>VLOOKUP($A5,'All LKO plans'!$A$3:$AG$29,'LKO &gt;100% of start level'!M$24+1)</f>
        <v>1</v>
      </c>
      <c r="N5" s="3">
        <f>VLOOKUP($A5,'All LKO plans'!$A$3:$AG$29,'LKO &gt;100% of start level'!N$24+1)</f>
        <v>1</v>
      </c>
      <c r="O5" s="3">
        <f>VLOOKUP($A5,'All LKO plans'!$A$3:$AG$29,'LKO &gt;100% of start level'!O$24+1)</f>
        <v>1</v>
      </c>
      <c r="P5" s="28">
        <f>VLOOKUP($A5,'All LKO plans'!$A$3:$AG$29,'LKO &gt;100% of start level'!P$24+1)</f>
        <v>3</v>
      </c>
      <c r="Q5" s="5">
        <f>VLOOKUP($A5,'All LKO plans'!$A$3:$AG$29,'LKO &gt;100% of start level'!Q$24+1)</f>
        <v>895.37</v>
      </c>
      <c r="R5" s="5">
        <f>VLOOKUP($A5,'All LKO plans'!$A$3:$AG$29,'LKO &gt;100% of start level'!R$24+1)</f>
        <v>1076.1500000000001</v>
      </c>
      <c r="S5" s="92">
        <f>VLOOKUP($A5,'All LKO plans'!$A$3:$AG$29,'LKO &gt;100% of start level'!S$24+1)</f>
        <v>1.2019053575616785</v>
      </c>
      <c r="T5" s="150">
        <f>VLOOKUP($A5,'All LKO plans'!$A$3:$AG$29,'LKO &gt;100% of start level'!T$24+1)</f>
        <v>0.38250000000000001</v>
      </c>
      <c r="U5" s="149">
        <f t="shared" si="0"/>
        <v>0.1275</v>
      </c>
      <c r="V5" s="71">
        <f t="shared" si="1"/>
        <v>0.11400818046589256</v>
      </c>
      <c r="W5" s="31">
        <f>VLOOKUP($A5,'All LKO plans'!$A$3:$AG$29,'LKO &gt;100% of start level'!W$24+1)</f>
        <v>0</v>
      </c>
      <c r="X5" s="31">
        <f>VLOOKUP($A5,'All LKO plans'!$A$3:$AG$29,'LKO &gt;100% of start level'!X$24+1)</f>
        <v>1</v>
      </c>
      <c r="Y5" s="31">
        <f>VLOOKUP($A5,'All LKO plans'!$A$3:$AG$29,'LKO &gt;100% of start level'!Y$24+1)</f>
        <v>0</v>
      </c>
      <c r="Z5" s="31" t="str">
        <f>VLOOKUP($A5,'All LKO plans'!$A$3:$AG$29,'LKO &gt;100% of start level'!Z$24+1)</f>
        <v>Daily / No charge</v>
      </c>
      <c r="AA5" s="98">
        <f>VLOOKUP($A5,'All LKO plans'!$A$3:$AG$29,'LKO &gt;100% of start level'!AA$24+1)</f>
        <v>0.23180000000000001</v>
      </c>
      <c r="AB5" s="106">
        <f>VLOOKUP($A5,'All LKO plans'!$A$3:$AG$29,'LKO &gt;100% of start level'!AB$24+1)</f>
        <v>0.1507</v>
      </c>
      <c r="AC5" s="106">
        <f>VLOOKUP($A5,'All LKO plans'!$A$3:$AG$29,'LKO &gt;100% of start level'!AC$24+1)</f>
        <v>4.7902084747077689E-2</v>
      </c>
      <c r="AD5" s="101">
        <f>VLOOKUP($A5,'All LKO plans'!$A$3:$AG$29,'LKO &gt;100% of start level'!AD$24+1)</f>
        <v>0.20190535756167849</v>
      </c>
      <c r="AE5" s="50">
        <f>VLOOKUP($A5,'All LKO plans'!$A$3:$AG$29,'LKO &gt;100% of start level'!AE$24+1)</f>
        <v>0.20190535756167849</v>
      </c>
      <c r="AF5" s="72">
        <f>VLOOKUP($A5,'All LKO plans'!$A$3:$AG$29,'LKO &gt;100% of start level'!AF$24+1)</f>
        <v>1.2749999999999999</v>
      </c>
      <c r="AG5" s="35">
        <f>VLOOKUP($A5,'All LKO plans'!$A$3:$AG$29,'LKO &gt;100% of start level'!AG$24+1)</f>
        <v>0.60190535756167851</v>
      </c>
    </row>
    <row r="6" spans="1:37" x14ac:dyDescent="0.35">
      <c r="A6" s="25">
        <v>13</v>
      </c>
      <c r="B6" s="177" t="s">
        <v>89</v>
      </c>
      <c r="C6" s="167" t="s">
        <v>74</v>
      </c>
      <c r="D6" s="169" t="s">
        <v>75</v>
      </c>
      <c r="E6" s="168" t="s">
        <v>44</v>
      </c>
      <c r="F6" s="311">
        <f>VLOOKUP($A6,'All LKO plans'!$A$3:$AG$29,'LKO &gt;100% of start level'!F$24+1)</f>
        <v>43518</v>
      </c>
      <c r="G6" s="305">
        <f>VLOOKUP($A6,'All LKO plans'!$A$3:$AG$29,'LKO &gt;100% of start level'!G$24+1)</f>
        <v>44614</v>
      </c>
      <c r="H6" s="40">
        <f>VLOOKUP($A6,'All LKO plans'!$A$3:$AG$29,'LKO &gt;100% of start level'!H$24+1)</f>
        <v>968.05</v>
      </c>
      <c r="I6" s="1">
        <f>VLOOKUP($A6,'All LKO plans'!$A$3:$AG$29,'LKO &gt;100% of start level'!I$24+1)</f>
        <v>0.6</v>
      </c>
      <c r="J6" s="3">
        <f>VLOOKUP($A6,'All LKO plans'!$A$3:$AG$29,'LKO &gt;100% of start level'!J$24+1)</f>
        <v>0.4</v>
      </c>
      <c r="K6" s="83">
        <f>VLOOKUP($A6,'All LKO plans'!$A$3:$AG$29,'LKO &gt;100% of start level'!K$24+1)</f>
        <v>580.82999999999993</v>
      </c>
      <c r="L6" s="89">
        <f>VLOOKUP($A6,'All LKO plans'!$A$3:$AG$29,'LKO &gt;100% of start level'!L$24+1)</f>
        <v>0.14749999999999999</v>
      </c>
      <c r="M6" s="86">
        <f>VLOOKUP($A6,'All LKO plans'!$A$3:$AG$29,'LKO &gt;100% of start level'!M$24+1)</f>
        <v>1</v>
      </c>
      <c r="N6" s="3">
        <f>VLOOKUP($A6,'All LKO plans'!$A$3:$AG$29,'LKO &gt;100% of start level'!N$24+1)</f>
        <v>1</v>
      </c>
      <c r="O6" s="3">
        <f>VLOOKUP($A6,'All LKO plans'!$A$3:$AG$29,'LKO &gt;100% of start level'!O$24+1)</f>
        <v>1</v>
      </c>
      <c r="P6" s="28">
        <f>VLOOKUP($A6,'All LKO plans'!$A$3:$AG$29,'LKO &gt;100% of start level'!P$24+1)</f>
        <v>3</v>
      </c>
      <c r="Q6" s="5">
        <f>VLOOKUP($A6,'All LKO plans'!$A$3:$AG$29,'LKO &gt;100% of start level'!Q$24+1)</f>
        <v>968.05</v>
      </c>
      <c r="R6" s="5">
        <f>VLOOKUP($A6,'All LKO plans'!$A$3:$AG$29,'LKO &gt;100% of start level'!R$24+1)</f>
        <v>1017.73</v>
      </c>
      <c r="S6" s="92">
        <f>VLOOKUP($A6,'All LKO plans'!$A$3:$AG$29,'LKO &gt;100% of start level'!S$24+1)</f>
        <v>1.0513196632405353</v>
      </c>
      <c r="T6" s="150">
        <f>VLOOKUP($A6,'All LKO plans'!$A$3:$AG$29,'LKO &gt;100% of start level'!T$24+1)</f>
        <v>0.4425</v>
      </c>
      <c r="U6" s="149">
        <f t="shared" si="0"/>
        <v>0.14749999999999999</v>
      </c>
      <c r="V6" s="71">
        <f t="shared" si="1"/>
        <v>0.12989635408257461</v>
      </c>
      <c r="W6" s="31">
        <f>VLOOKUP($A6,'All LKO plans'!$A$3:$AG$29,'LKO &gt;100% of start level'!W$24+1)</f>
        <v>0</v>
      </c>
      <c r="X6" s="31">
        <f>VLOOKUP($A6,'All LKO plans'!$A$3:$AG$29,'LKO &gt;100% of start level'!X$24+1)</f>
        <v>1</v>
      </c>
      <c r="Y6" s="31">
        <f>VLOOKUP($A6,'All LKO plans'!$A$3:$AG$29,'LKO &gt;100% of start level'!Y$24+1)</f>
        <v>0</v>
      </c>
      <c r="Z6" s="31" t="str">
        <f>VLOOKUP($A6,'All LKO plans'!$A$3:$AG$29,'LKO &gt;100% of start level'!Z$24+1)</f>
        <v>Daily / No charge</v>
      </c>
      <c r="AA6" s="98">
        <f>VLOOKUP($A6,'All LKO plans'!$A$3:$AG$29,'LKO &gt;100% of start level'!AA$24+1)</f>
        <v>0.16200000000000001</v>
      </c>
      <c r="AB6" s="106">
        <f>VLOOKUP($A6,'All LKO plans'!$A$3:$AG$29,'LKO &gt;100% of start level'!AB$24+1)</f>
        <v>0.28049999999999997</v>
      </c>
      <c r="AC6" s="106">
        <f>VLOOKUP($A6,'All LKO plans'!$A$3:$AG$29,'LKO &gt;100% of start level'!AC$24+1)</f>
        <v>8.5908404151164852E-2</v>
      </c>
      <c r="AD6" s="101">
        <f>VLOOKUP($A6,'All LKO plans'!$A$3:$AG$29,'LKO &gt;100% of start level'!AD$24+1)</f>
        <v>5.1319663240535274E-2</v>
      </c>
      <c r="AE6" s="50">
        <f>VLOOKUP($A6,'All LKO plans'!$A$3:$AG$29,'LKO &gt;100% of start level'!AE$24+1)</f>
        <v>5.1319663240535274E-2</v>
      </c>
      <c r="AF6" s="72">
        <f>VLOOKUP($A6,'All LKO plans'!$A$3:$AG$29,'LKO &gt;100% of start level'!AF$24+1)</f>
        <v>1.4749999999999999</v>
      </c>
      <c r="AG6" s="35">
        <f>VLOOKUP($A6,'All LKO plans'!$A$3:$AG$29,'LKO &gt;100% of start level'!AG$24+1)</f>
        <v>0.4513196632405353</v>
      </c>
    </row>
    <row r="7" spans="1:37" x14ac:dyDescent="0.35">
      <c r="A7" s="25">
        <v>19</v>
      </c>
      <c r="B7" s="177" t="s">
        <v>96</v>
      </c>
      <c r="C7" s="167" t="s">
        <v>74</v>
      </c>
      <c r="D7" s="167" t="s">
        <v>93</v>
      </c>
      <c r="E7" s="168" t="s">
        <v>44</v>
      </c>
      <c r="F7" s="311">
        <f>VLOOKUP($A7,'All LKO plans'!$A$3:$AG$29,'LKO &gt;100% of start level'!F$24+1)</f>
        <v>43889</v>
      </c>
      <c r="G7" s="305">
        <f>VLOOKUP($A7,'All LKO plans'!$A$3:$AG$29,'LKO &gt;100% of start level'!G$24+1)</f>
        <v>44985</v>
      </c>
      <c r="H7" s="40">
        <f>VLOOKUP($A7,'All LKO plans'!$A$3:$AG$29,'LKO &gt;100% of start level'!H$24+1)</f>
        <v>919.68</v>
      </c>
      <c r="I7" s="1">
        <f>VLOOKUP($A7,'All LKO plans'!$A$3:$AG$29,'LKO &gt;100% of start level'!I$24+1)</f>
        <v>0.6</v>
      </c>
      <c r="J7" s="3">
        <f>VLOOKUP($A7,'All LKO plans'!$A$3:$AG$29,'LKO &gt;100% of start level'!J$24+1)</f>
        <v>0.4</v>
      </c>
      <c r="K7" s="83">
        <f>VLOOKUP($A7,'All LKO plans'!$A$3:$AG$29,'LKO &gt;100% of start level'!K$24+1)</f>
        <v>551.80799999999999</v>
      </c>
      <c r="L7" s="89">
        <f>VLOOKUP($A7,'All LKO plans'!$A$3:$AG$29,'LKO &gt;100% of start level'!L$24+1)</f>
        <v>0.124</v>
      </c>
      <c r="M7" s="86">
        <f>VLOOKUP($A7,'All LKO plans'!$A$3:$AG$29,'LKO &gt;100% of start level'!M$24+1)</f>
        <v>1</v>
      </c>
      <c r="N7" s="3">
        <f>VLOOKUP($A7,'All LKO plans'!$A$3:$AG$29,'LKO &gt;100% of start level'!N$24+1)</f>
        <v>1</v>
      </c>
      <c r="O7" s="3">
        <f>VLOOKUP($A7,'All LKO plans'!$A$3:$AG$29,'LKO &gt;100% of start level'!O$24+1)</f>
        <v>1</v>
      </c>
      <c r="P7" s="28">
        <f>VLOOKUP($A7,'All LKO plans'!$A$3:$AG$29,'LKO &gt;100% of start level'!P$24+1)</f>
        <v>3</v>
      </c>
      <c r="Q7" s="5">
        <f>VLOOKUP($A7,'All LKO plans'!$A$3:$AG$29,'LKO &gt;100% of start level'!Q$24+1)</f>
        <v>919.68</v>
      </c>
      <c r="R7" s="5">
        <f>VLOOKUP($A7,'All LKO plans'!$A$3:$AG$29,'LKO &gt;100% of start level'!R$24+1)</f>
        <v>957.93</v>
      </c>
      <c r="S7" s="92">
        <f>VLOOKUP($A7,'All LKO plans'!$A$3:$AG$29,'LKO &gt;100% of start level'!S$24+1)</f>
        <v>1.0415905532359082</v>
      </c>
      <c r="T7" s="150">
        <f>VLOOKUP($A7,'All LKO plans'!$A$3:$AG$29,'LKO &gt;100% of start level'!T$24+1)</f>
        <v>0.372</v>
      </c>
      <c r="U7" s="149">
        <f t="shared" si="0"/>
        <v>0.124</v>
      </c>
      <c r="V7" s="71">
        <f t="shared" si="1"/>
        <v>0.11118073637773951</v>
      </c>
      <c r="W7" s="31">
        <f>VLOOKUP($A7,'All LKO plans'!$A$3:$AG$29,'LKO &gt;100% of start level'!W$24+1)</f>
        <v>0</v>
      </c>
      <c r="X7" s="31">
        <f>VLOOKUP($A7,'All LKO plans'!$A$3:$AG$29,'LKO &gt;100% of start level'!X$24+1)</f>
        <v>1</v>
      </c>
      <c r="Y7" s="31">
        <f>VLOOKUP($A7,'All LKO plans'!$A$3:$AG$29,'LKO &gt;100% of start level'!Y$24+1)</f>
        <v>0</v>
      </c>
      <c r="Z7" s="31" t="str">
        <f>VLOOKUP($A7,'All LKO plans'!$A$3:$AG$29,'LKO &gt;100% of start level'!Z$24+1)</f>
        <v>Daily / No charge</v>
      </c>
      <c r="AA7" s="98">
        <f>VLOOKUP($A7,'All LKO plans'!$A$3:$AG$29,'LKO &gt;100% of start level'!AA$24+1)</f>
        <v>0.32919999999999999</v>
      </c>
      <c r="AB7" s="106">
        <f>VLOOKUP($A7,'All LKO plans'!$A$3:$AG$29,'LKO &gt;100% of start level'!AB$24+1)</f>
        <v>4.2800000000000005E-2</v>
      </c>
      <c r="AC7" s="106">
        <f>VLOOKUP($A7,'All LKO plans'!$A$3:$AG$29,'LKO &gt;100% of start level'!AC$24+1)</f>
        <v>1.4067834667643275E-2</v>
      </c>
      <c r="AD7" s="101">
        <f>VLOOKUP($A7,'All LKO plans'!$A$3:$AG$29,'LKO &gt;100% of start level'!AD$24+1)</f>
        <v>4.1590553235908212E-2</v>
      </c>
      <c r="AE7" s="50">
        <f>VLOOKUP($A7,'All LKO plans'!$A$3:$AG$29,'LKO &gt;100% of start level'!AE$24+1)</f>
        <v>4.1590553235908212E-2</v>
      </c>
      <c r="AF7" s="72">
        <f>VLOOKUP($A7,'All LKO plans'!$A$3:$AG$29,'LKO &gt;100% of start level'!AF$24+1)</f>
        <v>1.24</v>
      </c>
      <c r="AG7" s="35">
        <f>VLOOKUP($A7,'All LKO plans'!$A$3:$AG$29,'LKO &gt;100% of start level'!AG$24+1)</f>
        <v>0.44159055323590823</v>
      </c>
    </row>
    <row r="8" spans="1:37" x14ac:dyDescent="0.35">
      <c r="A8" s="25">
        <v>22</v>
      </c>
      <c r="B8" s="177" t="s">
        <v>99</v>
      </c>
      <c r="C8" s="167" t="s">
        <v>74</v>
      </c>
      <c r="D8" s="168" t="s">
        <v>93</v>
      </c>
      <c r="E8" s="168" t="s">
        <v>44</v>
      </c>
      <c r="F8" s="311">
        <f>VLOOKUP($A8,'All LKO plans'!$A$3:$AG$29,'LKO &gt;100% of start level'!F$24+1)</f>
        <v>43938</v>
      </c>
      <c r="G8" s="305">
        <f>VLOOKUP($A8,'All LKO plans'!$A$3:$AG$29,'LKO &gt;100% of start level'!G$24+1)</f>
        <v>45033</v>
      </c>
      <c r="H8" s="40">
        <f>VLOOKUP($A8,'All LKO plans'!$A$3:$AG$29,'LKO &gt;100% of start level'!H$24+1)</f>
        <v>776.07</v>
      </c>
      <c r="I8" s="1">
        <f>VLOOKUP($A8,'All LKO plans'!$A$3:$AG$29,'LKO &gt;100% of start level'!I$24+1)</f>
        <v>0.6</v>
      </c>
      <c r="J8" s="3">
        <f>VLOOKUP($A8,'All LKO plans'!$A$3:$AG$29,'LKO &gt;100% of start level'!J$24+1)</f>
        <v>0.4</v>
      </c>
      <c r="K8" s="83">
        <f>VLOOKUP($A8,'All LKO plans'!$A$3:$AG$29,'LKO &gt;100% of start level'!K$24+1)</f>
        <v>465.642</v>
      </c>
      <c r="L8" s="89">
        <f>VLOOKUP($A8,'All LKO plans'!$A$3:$AG$29,'LKO &gt;100% of start level'!L$24+1)</f>
        <v>0.20399999999999999</v>
      </c>
      <c r="M8" s="86">
        <f>VLOOKUP($A8,'All LKO plans'!$A$3:$AG$29,'LKO &gt;100% of start level'!M$24+1)</f>
        <v>1</v>
      </c>
      <c r="N8" s="3">
        <f>VLOOKUP($A8,'All LKO plans'!$A$3:$AG$29,'LKO &gt;100% of start level'!N$24+1)</f>
        <v>1</v>
      </c>
      <c r="O8" s="3">
        <f>VLOOKUP($A8,'All LKO plans'!$A$3:$AG$29,'LKO &gt;100% of start level'!O$24+1)</f>
        <v>1</v>
      </c>
      <c r="P8" s="28">
        <f>VLOOKUP($A8,'All LKO plans'!$A$3:$AG$29,'LKO &gt;100% of start level'!P$24+1)</f>
        <v>3</v>
      </c>
      <c r="Q8" s="5">
        <f>VLOOKUP($A8,'All LKO plans'!$A$3:$AG$29,'LKO &gt;100% of start level'!Q$24+1)</f>
        <v>776.07</v>
      </c>
      <c r="R8" s="5">
        <f>VLOOKUP($A8,'All LKO plans'!$A$3:$AG$29,'LKO &gt;100% of start level'!R$24+1)</f>
        <v>952.22</v>
      </c>
      <c r="S8" s="92">
        <f>VLOOKUP($A8,'All LKO plans'!$A$3:$AG$29,'LKO &gt;100% of start level'!S$24+1)</f>
        <v>1.2269769479557255</v>
      </c>
      <c r="T8" s="150">
        <f>VLOOKUP($A8,'All LKO plans'!$A$3:$AG$29,'LKO &gt;100% of start level'!T$24+1)</f>
        <v>0.61199999999999999</v>
      </c>
      <c r="U8" s="149">
        <f t="shared" si="0"/>
        <v>0.20399999999999999</v>
      </c>
      <c r="V8" s="71">
        <f t="shared" si="1"/>
        <v>0.17252383328607213</v>
      </c>
      <c r="W8" s="31">
        <f>VLOOKUP($A8,'All LKO plans'!$A$3:$AG$29,'LKO &gt;100% of start level'!W$24+1)</f>
        <v>0</v>
      </c>
      <c r="X8" s="31">
        <f>VLOOKUP($A8,'All LKO plans'!$A$3:$AG$29,'LKO &gt;100% of start level'!X$24+1)</f>
        <v>1</v>
      </c>
      <c r="Y8" s="31">
        <f>VLOOKUP($A8,'All LKO plans'!$A$3:$AG$29,'LKO &gt;100% of start level'!Y$24+1)</f>
        <v>0</v>
      </c>
      <c r="Z8" s="31" t="str">
        <f>VLOOKUP($A8,'All LKO plans'!$A$3:$AG$29,'LKO &gt;100% of start level'!Z$24+1)</f>
        <v>Daily / No charge</v>
      </c>
      <c r="AA8" s="98">
        <f>VLOOKUP($A8,'All LKO plans'!$A$3:$AG$29,'LKO &gt;100% of start level'!AA$24+1)</f>
        <v>0.5111</v>
      </c>
      <c r="AB8" s="106">
        <f>VLOOKUP($A8,'All LKO plans'!$A$3:$AG$29,'LKO &gt;100% of start level'!AB$24+1)</f>
        <v>0.10089999999999999</v>
      </c>
      <c r="AC8" s="106">
        <f>VLOOKUP($A8,'All LKO plans'!$A$3:$AG$29,'LKO &gt;100% of start level'!AC$24+1)</f>
        <v>3.2561569650662037E-2</v>
      </c>
      <c r="AD8" s="101">
        <f>VLOOKUP($A8,'All LKO plans'!$A$3:$AG$29,'LKO &gt;100% of start level'!AD$24+1)</f>
        <v>0.22697694795572554</v>
      </c>
      <c r="AE8" s="50">
        <f>VLOOKUP($A8,'All LKO plans'!$A$3:$AG$29,'LKO &gt;100% of start level'!AE$24+1)</f>
        <v>0.22697694795572554</v>
      </c>
      <c r="AF8" s="72">
        <f>VLOOKUP($A8,'All LKO plans'!$A$3:$AG$29,'LKO &gt;100% of start level'!AF$24+1)</f>
        <v>2.04</v>
      </c>
      <c r="AG8" s="35">
        <f>VLOOKUP($A8,'All LKO plans'!$A$3:$AG$29,'LKO &gt;100% of start level'!AG$24+1)</f>
        <v>0.62697694795572556</v>
      </c>
    </row>
    <row r="9" spans="1:37" x14ac:dyDescent="0.35">
      <c r="A9" s="25">
        <v>25</v>
      </c>
      <c r="B9" s="177" t="s">
        <v>103</v>
      </c>
      <c r="C9" s="167" t="s">
        <v>74</v>
      </c>
      <c r="D9" s="167" t="s">
        <v>93</v>
      </c>
      <c r="E9" s="167" t="s">
        <v>44</v>
      </c>
      <c r="F9" s="311">
        <f>VLOOKUP($A9,'All LKO plans'!$A$3:$AG$29,'LKO &gt;100% of start level'!F$24+1)</f>
        <v>44001</v>
      </c>
      <c r="G9" s="305">
        <f>VLOOKUP($A9,'All LKO plans'!$A$3:$AG$29,'LKO &gt;100% of start level'!G$24+1)</f>
        <v>45096</v>
      </c>
      <c r="H9" s="40">
        <f>VLOOKUP($A9,'All LKO plans'!$A$3:$AG$29,'LKO &gt;100% of start level'!H$24+1)</f>
        <v>867.18</v>
      </c>
      <c r="I9" s="1">
        <f>VLOOKUP($A9,'All LKO plans'!$A$3:$AG$29,'LKO &gt;100% of start level'!I$24+1)</f>
        <v>0.3</v>
      </c>
      <c r="J9" s="3">
        <f>VLOOKUP($A9,'All LKO plans'!$A$3:$AG$29,'LKO &gt;100% of start level'!J$24+1)</f>
        <v>0.7</v>
      </c>
      <c r="K9" s="83">
        <f>VLOOKUP($A9,'All LKO plans'!$A$3:$AG$29,'LKO &gt;100% of start level'!K$24+1)</f>
        <v>260.154</v>
      </c>
      <c r="L9" s="89">
        <f>VLOOKUP($A9,'All LKO plans'!$A$3:$AG$29,'LKO &gt;100% of start level'!L$24+1)</f>
        <v>0.17749999999999999</v>
      </c>
      <c r="M9" s="86">
        <f>VLOOKUP($A9,'All LKO plans'!$A$3:$AG$29,'LKO &gt;100% of start level'!M$24+1)</f>
        <v>1</v>
      </c>
      <c r="N9" s="3">
        <f>VLOOKUP($A9,'All LKO plans'!$A$3:$AG$29,'LKO &gt;100% of start level'!N$24+1)</f>
        <v>1</v>
      </c>
      <c r="O9" s="3">
        <f>VLOOKUP($A9,'All LKO plans'!$A$3:$AG$29,'LKO &gt;100% of start level'!O$24+1)</f>
        <v>1</v>
      </c>
      <c r="P9" s="28">
        <f>VLOOKUP($A9,'All LKO plans'!$A$3:$AG$29,'LKO &gt;100% of start level'!P$24+1)</f>
        <v>3</v>
      </c>
      <c r="Q9" s="5">
        <f>VLOOKUP($A9,'All LKO plans'!$A$3:$AG$29,'LKO &gt;100% of start level'!Q$24+1)</f>
        <v>867.18</v>
      </c>
      <c r="R9" s="5">
        <f>VLOOKUP($A9,'All LKO plans'!$A$3:$AG$29,'LKO &gt;100% of start level'!R$24+1)</f>
        <v>921.25</v>
      </c>
      <c r="S9" s="92">
        <f>VLOOKUP($A9,'All LKO plans'!$A$3:$AG$29,'LKO &gt;100% of start level'!S$24+1)</f>
        <v>1.0623515302474689</v>
      </c>
      <c r="T9" s="150">
        <f>VLOOKUP($A9,'All LKO plans'!$A$3:$AG$29,'LKO &gt;100% of start level'!T$24+1)</f>
        <v>0.53249999999999997</v>
      </c>
      <c r="U9" s="149">
        <f t="shared" si="0"/>
        <v>0.17749999999999999</v>
      </c>
      <c r="V9" s="71">
        <f t="shared" si="1"/>
        <v>0.15292262283231328</v>
      </c>
      <c r="W9" s="31">
        <f>VLOOKUP($A9,'All LKO plans'!$A$3:$AG$29,'LKO &gt;100% of start level'!W$24+1)</f>
        <v>0</v>
      </c>
      <c r="X9" s="31">
        <f>VLOOKUP($A9,'All LKO plans'!$A$3:$AG$29,'LKO &gt;100% of start level'!X$24+1)</f>
        <v>1</v>
      </c>
      <c r="Y9" s="31">
        <f>VLOOKUP($A9,'All LKO plans'!$A$3:$AG$29,'LKO &gt;100% of start level'!Y$24+1)</f>
        <v>0</v>
      </c>
      <c r="Z9" s="31" t="str">
        <f>VLOOKUP($A9,'All LKO plans'!$A$3:$AG$29,'LKO &gt;100% of start level'!Z$24+1)</f>
        <v>Daily / No charge</v>
      </c>
      <c r="AA9" s="98">
        <f>VLOOKUP($A9,'All LKO plans'!$A$3:$AG$29,'LKO &gt;100% of start level'!AA$24+1)</f>
        <v>0.33476635514018693</v>
      </c>
      <c r="AB9" s="106">
        <f>VLOOKUP($A9,'All LKO plans'!$A$3:$AG$29,'LKO &gt;100% of start level'!AB$24+1)</f>
        <v>0.19773364485981304</v>
      </c>
      <c r="AC9" s="106">
        <f>VLOOKUP($A9,'All LKO plans'!$A$3:$AG$29,'LKO &gt;100% of start level'!AC$24+1)</f>
        <v>6.1989158218488383E-2</v>
      </c>
      <c r="AD9" s="101">
        <f>VLOOKUP($A9,'All LKO plans'!$A$3:$AG$29,'LKO &gt;100% of start level'!AD$24+1)</f>
        <v>6.2351530247468867E-2</v>
      </c>
      <c r="AE9" s="50">
        <f>VLOOKUP($A9,'All LKO plans'!$A$3:$AG$29,'LKO &gt;100% of start level'!AE$24+1)</f>
        <v>6.2351530247468867E-2</v>
      </c>
      <c r="AF9" s="72">
        <f>VLOOKUP($A9,'All LKO plans'!$A$3:$AG$29,'LKO &gt;100% of start level'!AF$24+1)</f>
        <v>1.7749999999999999</v>
      </c>
      <c r="AG9" s="35">
        <f>VLOOKUP($A9,'All LKO plans'!$A$3:$AG$29,'LKO &gt;100% of start level'!AG$24+1)</f>
        <v>0.76235153024746882</v>
      </c>
    </row>
    <row r="10" spans="1:37" x14ac:dyDescent="0.35">
      <c r="A10" s="25">
        <v>27</v>
      </c>
      <c r="B10" s="177" t="s">
        <v>130</v>
      </c>
      <c r="C10" s="170" t="s">
        <v>74</v>
      </c>
      <c r="D10" s="167" t="s">
        <v>93</v>
      </c>
      <c r="E10" s="167" t="s">
        <v>44</v>
      </c>
      <c r="F10" s="311">
        <f>VLOOKUP($A10,'All LKO plans'!$A$3:$AG$29,'LKO &gt;100% of start level'!F$24+1)</f>
        <v>44001</v>
      </c>
      <c r="G10" s="305">
        <f>VLOOKUP($A10,'All LKO plans'!$A$3:$AG$29,'LKO &gt;100% of start level'!G$24+1)</f>
        <v>45096</v>
      </c>
      <c r="H10" s="40">
        <f>VLOOKUP($A10,'All LKO plans'!$A$3:$AG$29,'LKO &gt;100% of start level'!H$24+1)</f>
        <v>867.18</v>
      </c>
      <c r="I10" s="1">
        <f>VLOOKUP($A10,'All LKO plans'!$A$3:$AG$29,'LKO &gt;100% of start level'!I$24+1)</f>
        <v>0.4</v>
      </c>
      <c r="J10" s="3">
        <f>VLOOKUP($A10,'All LKO plans'!$A$3:$AG$29,'LKO &gt;100% of start level'!J$24+1)</f>
        <v>0.6</v>
      </c>
      <c r="K10" s="83">
        <f>VLOOKUP($A10,'All LKO plans'!$A$3:$AG$29,'LKO &gt;100% of start level'!K$24+1)</f>
        <v>346.87200000000001</v>
      </c>
      <c r="L10" s="89">
        <f>VLOOKUP($A10,'All LKO plans'!$A$3:$AG$29,'LKO &gt;100% of start level'!L$24+1)</f>
        <v>0.17249999999999999</v>
      </c>
      <c r="M10" s="86">
        <f>VLOOKUP($A10,'All LKO plans'!$A$3:$AG$29,'LKO &gt;100% of start level'!M$24+1)</f>
        <v>1</v>
      </c>
      <c r="N10" s="3">
        <f>VLOOKUP($A10,'All LKO plans'!$A$3:$AG$29,'LKO &gt;100% of start level'!N$24+1)</f>
        <v>1</v>
      </c>
      <c r="O10" s="3">
        <f>VLOOKUP($A10,'All LKO plans'!$A$3:$AG$29,'LKO &gt;100% of start level'!O$24+1)</f>
        <v>1</v>
      </c>
      <c r="P10" s="28">
        <f>VLOOKUP($A10,'All LKO plans'!$A$3:$AG$29,'LKO &gt;100% of start level'!P$24+1)</f>
        <v>3</v>
      </c>
      <c r="Q10" s="5">
        <f>VLOOKUP($A10,'All LKO plans'!$A$3:$AG$29,'LKO &gt;100% of start level'!Q$24+1)</f>
        <v>867.18</v>
      </c>
      <c r="R10" s="5">
        <f>VLOOKUP($A10,'All LKO plans'!$A$3:$AG$29,'LKO &gt;100% of start level'!R$24+1)</f>
        <v>921.25</v>
      </c>
      <c r="S10" s="92">
        <f>VLOOKUP($A10,'All LKO plans'!$A$3:$AG$29,'LKO &gt;100% of start level'!S$24+1)</f>
        <v>1.0623515302474689</v>
      </c>
      <c r="T10" s="150">
        <f>VLOOKUP($A10,'All LKO plans'!$A$3:$AG$29,'LKO &gt;100% of start level'!T$24+1)</f>
        <v>0.51749999999999996</v>
      </c>
      <c r="U10" s="149">
        <f t="shared" si="0"/>
        <v>0.17249999999999999</v>
      </c>
      <c r="V10" s="71">
        <f t="shared" si="1"/>
        <v>0.14914870835808269</v>
      </c>
      <c r="W10" s="31">
        <f>VLOOKUP($A10,'All LKO plans'!$A$3:$AG$29,'LKO &gt;100% of start level'!W$24+1)</f>
        <v>0</v>
      </c>
      <c r="X10" s="31">
        <f>VLOOKUP($A10,'All LKO plans'!$A$3:$AG$29,'LKO &gt;100% of start level'!X$24+1)</f>
        <v>1</v>
      </c>
      <c r="Y10" s="31">
        <f>VLOOKUP($A10,'All LKO plans'!$A$3:$AG$29,'LKO &gt;100% of start level'!Y$24+1)</f>
        <v>0</v>
      </c>
      <c r="Z10" s="31" t="str">
        <f>VLOOKUP($A10,'All LKO plans'!$A$3:$AG$29,'LKO &gt;100% of start level'!Z$24+1)</f>
        <v>Daily / No charge</v>
      </c>
      <c r="AA10" s="98">
        <f>VLOOKUP($A10,'All LKO plans'!$A$3:$AG$29,'LKO &gt;100% of start level'!AA$24+1)</f>
        <v>0.33476635514018693</v>
      </c>
      <c r="AB10" s="106">
        <f>VLOOKUP($A10,'All LKO plans'!$A$3:$AG$29,'LKO &gt;100% of start level'!AB$24+1)</f>
        <v>0.18273364485981303</v>
      </c>
      <c r="AC10" s="106">
        <f>VLOOKUP($A10,'All LKO plans'!$A$3:$AG$29,'LKO &gt;100% of start level'!AC$24+1)</f>
        <v>5.7537193477805726E-2</v>
      </c>
      <c r="AD10" s="101">
        <f>VLOOKUP($A10,'All LKO plans'!$A$3:$AG$29,'LKO &gt;100% of start level'!AD$24+1)</f>
        <v>6.2351530247468867E-2</v>
      </c>
      <c r="AE10" s="50">
        <f>VLOOKUP($A10,'All LKO plans'!$A$3:$AG$29,'LKO &gt;100% of start level'!AE$24+1)</f>
        <v>6.2351530247468867E-2</v>
      </c>
      <c r="AF10" s="72">
        <f>VLOOKUP($A10,'All LKO plans'!$A$3:$AG$29,'LKO &gt;100% of start level'!AF$24+1)</f>
        <v>1.7249999999999999</v>
      </c>
      <c r="AG10" s="35">
        <f>VLOOKUP($A10,'All LKO plans'!$A$3:$AG$29,'LKO &gt;100% of start level'!AG$24+1)</f>
        <v>0.66235153024746884</v>
      </c>
    </row>
    <row r="11" spans="1:37" x14ac:dyDescent="0.35">
      <c r="A11" s="25">
        <v>29</v>
      </c>
      <c r="B11" s="177" t="s">
        <v>131</v>
      </c>
      <c r="C11" s="167" t="s">
        <v>74</v>
      </c>
      <c r="D11" s="167" t="s">
        <v>93</v>
      </c>
      <c r="E11" s="167" t="s">
        <v>44</v>
      </c>
      <c r="F11" s="311">
        <v>44008</v>
      </c>
      <c r="G11" s="305">
        <f>EDATE(F11,36)</f>
        <v>45103</v>
      </c>
      <c r="H11" s="40">
        <v>847.86</v>
      </c>
      <c r="I11" s="1">
        <v>0.4</v>
      </c>
      <c r="J11" s="3">
        <f>1-I11</f>
        <v>0.6</v>
      </c>
      <c r="K11" s="83">
        <f>H11*I11</f>
        <v>339.14400000000001</v>
      </c>
      <c r="L11" s="89">
        <v>0.17249999999999999</v>
      </c>
      <c r="M11" s="86">
        <v>1</v>
      </c>
      <c r="N11" s="3">
        <v>1</v>
      </c>
      <c r="O11" s="3">
        <v>1</v>
      </c>
      <c r="P11" s="28">
        <v>3</v>
      </c>
      <c r="Q11" s="5">
        <f>M11*H11</f>
        <v>847.86</v>
      </c>
      <c r="R11" s="5">
        <v>898.05</v>
      </c>
      <c r="S11" s="92">
        <f>R11/H11</f>
        <v>1.0591960936947136</v>
      </c>
      <c r="T11" s="150">
        <f>L11*3</f>
        <v>0.51749999999999996</v>
      </c>
      <c r="U11" s="149">
        <f t="shared" si="0"/>
        <v>0.17249999999999999</v>
      </c>
      <c r="V11" s="71">
        <f t="shared" si="1"/>
        <v>0.14914870835808269</v>
      </c>
      <c r="W11" s="31">
        <v>0</v>
      </c>
      <c r="X11" s="31">
        <f>IF(T11&gt;0,1,R11/H11)</f>
        <v>1</v>
      </c>
      <c r="Y11" s="31">
        <v>0</v>
      </c>
      <c r="Z11" s="31" t="s">
        <v>76</v>
      </c>
      <c r="AA11" s="98">
        <v>0.33960000000000001</v>
      </c>
      <c r="AB11" s="106">
        <f>T11-AA11</f>
        <v>0.17789999999999995</v>
      </c>
      <c r="AC11" s="106">
        <f>(((1+AB11)/1)^(1/3)-1)</f>
        <v>5.6094564151726312E-2</v>
      </c>
      <c r="AD11" s="101">
        <f>S11-M11</f>
        <v>5.919609369471357E-2</v>
      </c>
      <c r="AE11" s="50">
        <f>S11-O11</f>
        <v>5.919609369471357E-2</v>
      </c>
      <c r="AF11" s="72">
        <f>T11/P11*10</f>
        <v>1.7249999999999999</v>
      </c>
      <c r="AG11" s="35">
        <f>S11-I11</f>
        <v>0.65919609369471355</v>
      </c>
    </row>
    <row r="12" spans="1:37" x14ac:dyDescent="0.35">
      <c r="A12" s="216">
        <v>32</v>
      </c>
      <c r="B12" s="177" t="s">
        <v>111</v>
      </c>
      <c r="C12" s="217" t="s">
        <v>74</v>
      </c>
      <c r="D12" s="167" t="s">
        <v>112</v>
      </c>
      <c r="E12" s="167" t="s">
        <v>44</v>
      </c>
      <c r="F12" s="312">
        <v>44043</v>
      </c>
      <c r="G12" s="314">
        <v>45138</v>
      </c>
      <c r="H12" s="218">
        <v>829.83</v>
      </c>
      <c r="I12" s="219">
        <v>0.4</v>
      </c>
      <c r="J12" s="219">
        <v>0.6</v>
      </c>
      <c r="K12" s="220">
        <v>331.93200000000002</v>
      </c>
      <c r="L12" s="221">
        <v>0.154</v>
      </c>
      <c r="M12" s="219">
        <v>1</v>
      </c>
      <c r="N12" s="219">
        <v>1</v>
      </c>
      <c r="O12" s="219">
        <v>1</v>
      </c>
      <c r="P12" s="222">
        <v>3</v>
      </c>
      <c r="Q12" s="218">
        <v>829.83</v>
      </c>
      <c r="R12" s="218">
        <v>950.45</v>
      </c>
      <c r="S12" s="223">
        <v>1.1454</v>
      </c>
      <c r="T12" s="224">
        <v>0.46200000000000002</v>
      </c>
      <c r="U12" s="225">
        <v>0.154</v>
      </c>
      <c r="V12" s="226">
        <v>0.13500000000000001</v>
      </c>
      <c r="W12" s="227">
        <v>0</v>
      </c>
      <c r="X12" s="227">
        <v>1</v>
      </c>
      <c r="Y12" s="227">
        <v>0</v>
      </c>
      <c r="Z12" s="228" t="s">
        <v>76</v>
      </c>
      <c r="AA12" s="229">
        <v>0.45800000000000002</v>
      </c>
      <c r="AB12" s="230">
        <v>4.0000000000000001E-3</v>
      </c>
      <c r="AC12" s="231">
        <v>1.2999999999999999E-3</v>
      </c>
      <c r="AD12" s="232">
        <v>0.1454</v>
      </c>
      <c r="AE12" s="229">
        <v>0.1454</v>
      </c>
      <c r="AF12" s="233">
        <v>1.54</v>
      </c>
      <c r="AG12" s="234">
        <v>0.74539999999999995</v>
      </c>
      <c r="AH12" s="235"/>
      <c r="AI12" s="235"/>
      <c r="AJ12" s="236"/>
    </row>
    <row r="13" spans="1:37" x14ac:dyDescent="0.35">
      <c r="A13" s="25">
        <v>35</v>
      </c>
      <c r="B13" s="175" t="s">
        <v>115</v>
      </c>
      <c r="C13" s="167" t="s">
        <v>74</v>
      </c>
      <c r="D13" s="167" t="s">
        <v>93</v>
      </c>
      <c r="E13" s="167" t="s">
        <v>44</v>
      </c>
      <c r="F13" s="302">
        <v>44099</v>
      </c>
      <c r="G13" s="305">
        <f t="shared" ref="G13" si="2">EDATE(F13,36)</f>
        <v>45194</v>
      </c>
      <c r="H13" s="40">
        <v>842.03</v>
      </c>
      <c r="I13" s="1">
        <v>0.4</v>
      </c>
      <c r="J13" s="1">
        <f t="shared" ref="J13" si="3">1-I13</f>
        <v>0.6</v>
      </c>
      <c r="K13" s="84">
        <f t="shared" ref="K13" si="4">H13*I13</f>
        <v>336.81200000000001</v>
      </c>
      <c r="L13" s="90">
        <v>0.159</v>
      </c>
      <c r="M13" s="87">
        <v>1</v>
      </c>
      <c r="N13" s="1">
        <v>1</v>
      </c>
      <c r="O13" s="1">
        <v>1</v>
      </c>
      <c r="P13" s="29">
        <v>3</v>
      </c>
      <c r="Q13" s="5">
        <f t="shared" ref="Q13" si="5">M13*H13</f>
        <v>842.03</v>
      </c>
      <c r="R13" s="5">
        <v>912.3</v>
      </c>
      <c r="S13" s="93">
        <f t="shared" ref="S13" si="6">R13/H13</f>
        <v>1.0834530836193486</v>
      </c>
      <c r="T13" s="150">
        <f t="shared" ref="T13" si="7">L13*3</f>
        <v>0.47699999999999998</v>
      </c>
      <c r="U13" s="149">
        <f t="shared" ref="U13" si="8">T13/3</f>
        <v>0.159</v>
      </c>
      <c r="V13" s="71">
        <f t="shared" ref="V13" si="9">(((1+(U13*P13))/1)^(1/P13)-1)</f>
        <v>0.1388333196056406</v>
      </c>
      <c r="W13" s="95">
        <v>0</v>
      </c>
      <c r="X13" s="32">
        <f t="shared" ref="X13" si="10">IF(V13&gt;0,1,R13/H13)</f>
        <v>1</v>
      </c>
      <c r="Y13" s="32">
        <v>0</v>
      </c>
      <c r="Z13" s="54" t="s">
        <v>76</v>
      </c>
      <c r="AA13" s="99">
        <v>0.44540000000000002</v>
      </c>
      <c r="AB13" s="104">
        <f t="shared" ref="AB13" si="11">T13-AA13</f>
        <v>3.1599999999999961E-2</v>
      </c>
      <c r="AC13" s="106">
        <f t="shared" ref="AC13" si="12">(((1+AB13)/1)^(1/3)-1)</f>
        <v>1.0424289924889418E-2</v>
      </c>
      <c r="AD13" s="102">
        <f t="shared" ref="AD13" si="13">S13-M13</f>
        <v>8.3453083619348556E-2</v>
      </c>
      <c r="AE13" s="51">
        <f t="shared" ref="AE13" si="14">S13-O13</f>
        <v>8.3453083619348556E-2</v>
      </c>
      <c r="AF13" s="51">
        <f>T13/P13*10</f>
        <v>1.59</v>
      </c>
      <c r="AG13" s="35">
        <f t="shared" ref="AG13" si="15">S13-I13</f>
        <v>0.68345308361934853</v>
      </c>
      <c r="AI13" s="58"/>
      <c r="AK13" s="57"/>
    </row>
    <row r="14" spans="1:37" ht="15" thickBot="1" x14ac:dyDescent="0.4">
      <c r="A14" s="293">
        <v>42</v>
      </c>
      <c r="B14" s="282" t="s">
        <v>175</v>
      </c>
      <c r="C14" s="291" t="s">
        <v>74</v>
      </c>
      <c r="D14" s="167" t="s">
        <v>93</v>
      </c>
      <c r="E14" s="288" t="s">
        <v>44</v>
      </c>
      <c r="F14" s="313">
        <v>43707</v>
      </c>
      <c r="G14" s="306">
        <f>EDATE(F14,60)</f>
        <v>45534</v>
      </c>
      <c r="H14" s="290">
        <v>964.28</v>
      </c>
      <c r="I14" s="3">
        <v>0.6</v>
      </c>
      <c r="J14" s="3">
        <f t="shared" ref="J14" si="16">1-I14</f>
        <v>0.4</v>
      </c>
      <c r="K14" s="83">
        <f t="shared" ref="K14" si="17">H14*I14</f>
        <v>578.56799999999998</v>
      </c>
      <c r="L14" s="89">
        <f>0.441/3</f>
        <v>0.14699999999999999</v>
      </c>
      <c r="M14" s="86">
        <v>1</v>
      </c>
      <c r="N14" s="1">
        <v>1</v>
      </c>
      <c r="O14" s="126">
        <v>1</v>
      </c>
      <c r="P14" s="128">
        <v>5</v>
      </c>
      <c r="Q14" s="125">
        <f t="shared" ref="Q14" si="18">ROUNDUP(M14*H14,2)</f>
        <v>964.28</v>
      </c>
      <c r="R14" s="125">
        <v>998.56</v>
      </c>
      <c r="S14" s="129">
        <f t="shared" ref="S14" si="19">R14/H14</f>
        <v>1.0355498402953498</v>
      </c>
      <c r="T14" s="295">
        <f>L14*P14</f>
        <v>0.73499999999999999</v>
      </c>
      <c r="U14" s="149">
        <f t="shared" ref="U14" si="20">T14/P14</f>
        <v>0.14699999999999999</v>
      </c>
      <c r="V14" s="71">
        <f t="shared" ref="V14" si="21">(((1+(U14*P14))/1)^(1/P14)-1)</f>
        <v>0.1165030038151964</v>
      </c>
      <c r="W14" s="95">
        <v>0</v>
      </c>
      <c r="X14" s="32">
        <v>1</v>
      </c>
      <c r="Y14" s="32">
        <v>0</v>
      </c>
      <c r="Z14" s="54" t="s">
        <v>76</v>
      </c>
      <c r="AA14" s="99">
        <f>166.02/119.32-1</f>
        <v>0.39138451223600423</v>
      </c>
      <c r="AB14" s="104">
        <f t="shared" ref="AB14" si="22">T14-AA14</f>
        <v>0.34361548776399575</v>
      </c>
      <c r="AC14" s="106">
        <f t="shared" ref="AC14" si="23">(((1+AB14)/1)^(1/P14)-1)</f>
        <v>6.0852490426636097E-2</v>
      </c>
      <c r="AD14" s="101">
        <f t="shared" ref="AD14" si="24">S14-M14</f>
        <v>3.5549840295349799E-2</v>
      </c>
      <c r="AE14" s="133">
        <f t="shared" ref="AE14" si="25">S14-O14</f>
        <v>3.5549840295349799E-2</v>
      </c>
      <c r="AF14" s="50">
        <f t="shared" ref="AF14" si="26">T14/P14*10</f>
        <v>1.47</v>
      </c>
      <c r="AG14" s="35">
        <f t="shared" ref="AG14" si="27">S14-I14</f>
        <v>0.43554984029534982</v>
      </c>
      <c r="AI14" s="58"/>
      <c r="AK14" s="57"/>
    </row>
    <row r="15" spans="1:37" ht="15" thickBot="1" x14ac:dyDescent="0.4">
      <c r="A15" s="20"/>
      <c r="B15" s="7" t="s">
        <v>120</v>
      </c>
      <c r="C15" s="7"/>
      <c r="D15" s="7"/>
      <c r="E15" s="7"/>
      <c r="F15" s="7"/>
      <c r="G15" s="13"/>
      <c r="H15" s="11"/>
      <c r="I15" s="2">
        <f t="shared" ref="I15" si="28">AVERAGE(I3:I14)</f>
        <v>0.50833333333333341</v>
      </c>
      <c r="J15" s="2">
        <f t="shared" ref="J15" si="29">AVERAGE(J3:J14)</f>
        <v>0.49166666666666664</v>
      </c>
      <c r="K15" s="76"/>
      <c r="L15" s="4">
        <f t="shared" ref="L15" si="30">AVERAGE(L3:L14)</f>
        <v>0.15033333333333332</v>
      </c>
      <c r="M15" s="6">
        <f t="shared" ref="M15" si="31">AVERAGE(M3:M14)</f>
        <v>1</v>
      </c>
      <c r="N15" s="63"/>
      <c r="O15" s="63">
        <f t="shared" ref="O15" si="32">AVERAGE(O3:O14)</f>
        <v>1</v>
      </c>
      <c r="P15" s="309">
        <f t="shared" ref="P15" si="33">AVERAGE(P3:P14)</f>
        <v>3.1666666666666665</v>
      </c>
      <c r="Q15" s="11"/>
      <c r="R15" s="11">
        <f t="shared" ref="R15:Y15" si="34">AVERAGE(R3:R14)</f>
        <v>978.43916666666667</v>
      </c>
      <c r="S15" s="61">
        <f t="shared" si="34"/>
        <v>1.0951884520666544</v>
      </c>
      <c r="T15" s="64">
        <f t="shared" si="34"/>
        <v>0.47550000000000003</v>
      </c>
      <c r="U15" s="64">
        <f t="shared" si="34"/>
        <v>0.15033333333333332</v>
      </c>
      <c r="V15" s="64">
        <f t="shared" si="34"/>
        <v>0.13061412962158661</v>
      </c>
      <c r="W15" s="64">
        <f t="shared" si="34"/>
        <v>0</v>
      </c>
      <c r="X15" s="64">
        <f t="shared" si="34"/>
        <v>1</v>
      </c>
      <c r="Y15" s="64">
        <f t="shared" si="34"/>
        <v>0</v>
      </c>
      <c r="Z15" s="64"/>
      <c r="AA15" s="6">
        <f>AVERAGE(AA3:AA14)</f>
        <v>0.31327643520969817</v>
      </c>
      <c r="AB15" s="6">
        <f>AVERAGE(AB3:AB14)</f>
        <v>0.16222356479030178</v>
      </c>
      <c r="AC15" s="6">
        <f>AVERAGE(AC3:AC14)</f>
        <v>4.6954951552844348E-2</v>
      </c>
      <c r="AD15" s="6">
        <f>AVERAGE(AD3:AD14)</f>
        <v>9.5188452066654494E-2</v>
      </c>
      <c r="AE15" s="6">
        <f>AVERAGE(AE3:AE14)</f>
        <v>9.5188452066654494E-2</v>
      </c>
      <c r="AF15" s="6">
        <f t="shared" ref="AF15:AG15" si="35">AVERAGE(AF3:AF14)</f>
        <v>1.5033333333333332</v>
      </c>
      <c r="AG15" s="46">
        <f t="shared" si="35"/>
        <v>0.58685511873332119</v>
      </c>
    </row>
    <row r="16" spans="1:37" ht="15" thickBot="1" x14ac:dyDescent="0.4">
      <c r="T16" s="348" t="s">
        <v>121</v>
      </c>
      <c r="U16" s="339"/>
      <c r="V16" s="339"/>
      <c r="W16" s="339"/>
      <c r="X16" s="339"/>
      <c r="Y16" s="339"/>
      <c r="Z16" s="339"/>
      <c r="AA16" s="349"/>
      <c r="AB16" s="6">
        <f>MAX(AB1:AB14)</f>
        <v>0.34361548776399575</v>
      </c>
      <c r="AC16" s="46">
        <f>MAX(AC3:AC14)</f>
        <v>8.5908404151164852E-2</v>
      </c>
    </row>
    <row r="17" spans="2:33" ht="15" thickBot="1" x14ac:dyDescent="0.4">
      <c r="B17" s="75" t="s">
        <v>122</v>
      </c>
      <c r="C17" s="75"/>
      <c r="D17" s="75"/>
      <c r="E17" s="75"/>
      <c r="T17" s="348" t="s">
        <v>123</v>
      </c>
      <c r="U17" s="339"/>
      <c r="V17" s="339"/>
      <c r="W17" s="339"/>
      <c r="X17" s="339"/>
      <c r="Y17" s="339"/>
      <c r="Z17" s="339"/>
      <c r="AA17" s="349"/>
      <c r="AB17" s="48">
        <f>_xlfn.MINIFS(AB3:AB14,AB3:AB14,"&gt;0")</f>
        <v>4.0000000000000001E-3</v>
      </c>
      <c r="AC17" s="147">
        <f>_xlfn.MINIFS(AC3:AC14,AC3:AC14,"&gt;0")</f>
        <v>1.2999999999999999E-3</v>
      </c>
    </row>
    <row r="18" spans="2:33" x14ac:dyDescent="0.35">
      <c r="T18" s="350" t="s">
        <v>125</v>
      </c>
      <c r="U18" s="350"/>
      <c r="V18" s="350"/>
      <c r="W18" s="350"/>
      <c r="X18" s="350"/>
      <c r="Y18" s="350"/>
      <c r="Z18" s="350"/>
      <c r="AA18" s="350"/>
    </row>
    <row r="24" spans="2:33" hidden="1" x14ac:dyDescent="0.35">
      <c r="B24">
        <f>MATCH(B2,'All LKO plans'!$B$2:$AG$2,0)</f>
        <v>1</v>
      </c>
      <c r="F24">
        <f>MATCH(F2,'All LKO plans'!$B$2:$AG$2,0)</f>
        <v>5</v>
      </c>
      <c r="G24">
        <f>MATCH(G2,'All LKO plans'!$B$2:$AG$2,0)</f>
        <v>6</v>
      </c>
      <c r="H24">
        <f>MATCH(H2,'All LKO plans'!$B$2:$AG$2,0)</f>
        <v>7</v>
      </c>
      <c r="I24">
        <f>MATCH(I2,'All LKO plans'!$B$2:$AG$2,0)</f>
        <v>8</v>
      </c>
      <c r="J24">
        <f>MATCH(J2,'All LKO plans'!$B$2:$AG$2,0)</f>
        <v>9</v>
      </c>
      <c r="K24">
        <f>MATCH(K2,'All LKO plans'!$B$2:$AG$2,0)</f>
        <v>10</v>
      </c>
      <c r="L24">
        <f>MATCH(L2,'All LKO plans'!$B$2:$AG$2,0)</f>
        <v>11</v>
      </c>
      <c r="M24">
        <v>12</v>
      </c>
      <c r="N24">
        <f>MATCH(N2,'All LKO plans'!$B$2:$AG$2,0)</f>
        <v>13</v>
      </c>
      <c r="O24">
        <f>MATCH(O2,'All LKO plans'!$B$2:$AG$2,0)</f>
        <v>14</v>
      </c>
      <c r="P24">
        <f>MATCH(P2,'All LKO plans'!$B$2:$AG$2,0)</f>
        <v>15</v>
      </c>
      <c r="Q24">
        <f>MATCH(Q2,'All LKO plans'!$B$2:$AG$2,0)</f>
        <v>16</v>
      </c>
      <c r="R24">
        <f>MATCH(R2,'All LKO plans'!$B$2:$AG$2,0)</f>
        <v>17</v>
      </c>
      <c r="S24">
        <f>MATCH(S2,'All LKO plans'!$B$2:$AG$2,0)</f>
        <v>18</v>
      </c>
      <c r="T24">
        <f>MATCH(T2,'All LKO plans'!$B$2:$AG$2,0)</f>
        <v>19</v>
      </c>
      <c r="W24">
        <f>MATCH(W2,'All LKO plans'!$B$2:$AG$2,0)</f>
        <v>22</v>
      </c>
      <c r="X24">
        <f>MATCH(X2,'All LKO plans'!$B$2:$AG$2,0)</f>
        <v>23</v>
      </c>
      <c r="Y24">
        <f>MATCH(Y2,'All LKO plans'!$B$2:$AG$2,0)</f>
        <v>24</v>
      </c>
      <c r="Z24">
        <f>MATCH(Z2,'All LKO plans'!$B$2:$AG$2,0)</f>
        <v>25</v>
      </c>
      <c r="AA24">
        <f>MATCH(AA2,'All LKO plans'!$B$2:$AG$2,0)</f>
        <v>26</v>
      </c>
      <c r="AB24">
        <f>MATCH(AB2,'All LKO plans'!$B$2:$AG$2,0)</f>
        <v>27</v>
      </c>
      <c r="AC24">
        <f>MATCH(AC2,'All LKO plans'!$B$2:$AG$2,0)</f>
        <v>28</v>
      </c>
      <c r="AD24">
        <f>MATCH(AD2,'All LKO plans'!$B$2:$AG$2,0)</f>
        <v>29</v>
      </c>
      <c r="AE24">
        <f>MATCH(AE2,'All LKO plans'!$B$2:$AG$2,0)</f>
        <v>30</v>
      </c>
      <c r="AF24">
        <f>MATCH(AF2,'All LKO plans'!$B$2:$AG$2,0)</f>
        <v>31</v>
      </c>
      <c r="AG24">
        <f>MATCH(AG2,'All LKO plans'!$B$2:$AG$2,0)</f>
        <v>32</v>
      </c>
    </row>
  </sheetData>
  <autoFilter ref="A2:AG11" xr:uid="{8713D834-06F6-4F92-A782-CAB46970AD76}"/>
  <mergeCells count="4">
    <mergeCell ref="T16:AA16"/>
    <mergeCell ref="T17:AA17"/>
    <mergeCell ref="T18:AA18"/>
    <mergeCell ref="A1:AG1"/>
  </mergeCells>
  <conditionalFormatting sqref="AB3:AC11">
    <cfRule type="cellIs" dxfId="7" priority="9" operator="greaterThan">
      <formula>0</formula>
    </cfRule>
    <cfRule type="cellIs" dxfId="6" priority="10" operator="lessThan">
      <formula>0</formula>
    </cfRule>
  </conditionalFormatting>
  <conditionalFormatting sqref="AB13:AC14">
    <cfRule type="cellIs" dxfId="5" priority="1" operator="greaterThan">
      <formula>0</formula>
    </cfRule>
    <cfRule type="cellIs" dxfId="4" priority="2" operator="lessThan">
      <formula>0</formula>
    </cfRule>
  </conditionalFormatting>
  <hyperlinks>
    <hyperlink ref="C3" r:id="rId1" display="https://tempo-sp.com/vault/files/Tempo_SG_LKO_Aug18_Brochure_FINAL.pdf" xr:uid="{F3885D2A-4D79-45D7-A407-C7858574AC32}"/>
    <hyperlink ref="E3" r:id="rId2" display="https://tempo-sp.com/vault/files/Tempo_Issue-3_LKO3_Maturity-performance-and-comparison.pdf" xr:uid="{65BE512A-2BFF-49A9-B756-F252DE2A7ACC}"/>
    <hyperlink ref="C4" r:id="rId3" display="https://tempo-sp.com/vault/files/Tempo_LKO_Brochure_Oct18.pdf" xr:uid="{597E2B80-0086-4404-AAC0-69EB84CC1A81}"/>
    <hyperlink ref="E4" r:id="rId4" display="https://tempo-sp.com/vault/files/Tempo_Issue-3_LKO3_Maturity-performance-and-comparison.pdf" xr:uid="{DA5B8BEC-E823-4AB3-A34B-C825D293BEBB}"/>
    <hyperlink ref="C5" r:id="rId5" display="https://tempo-sp.com/vault/files/Tempo_LKO_Brochure_Dec2018.pdf" xr:uid="{17C258C6-0F90-4476-96AE-64C9D205F416}"/>
    <hyperlink ref="E5" r:id="rId6" display="https://tempo-sp.com/vault/files/Tempo_Issue-4_LKO3_Maturity-performance-and-comparison.pdf" xr:uid="{8312B65D-374E-408C-B857-BF515A871FF9}"/>
    <hyperlink ref="C6" r:id="rId7" display="https://tempo-sp.com/vault/files/Tempo_LKO_Brochure_Feb19.pdf" xr:uid="{B80A7A0F-E59F-4DD6-AA95-6E02D8763534}"/>
    <hyperlink ref="E6" r:id="rId8" display="https://tempo-sp.com/vault/files/Tempo_Issue-5_LKO3_Maturity-performance-and-comparison.pdf" xr:uid="{9A56F40E-770F-4DBB-AABE-469869A2EAC0}"/>
    <hyperlink ref="C7" r:id="rId9" display="https://tempo-sp.com/vault/files/Tempo_LKO_Brochure_Feb20-1.pdf" xr:uid="{1154D323-056E-42EA-AADD-653F8B471FF1}"/>
    <hyperlink ref="E7" r:id="rId10" display="https://tempo-sp.com/vault/files/Tempo_Issue-11_LKO3_Maturity-performance-and-comparison.pdf" xr:uid="{D20EFCB1-65B4-45C8-BA5F-5C36973F7588}"/>
    <hyperlink ref="D7" r:id="rId11" display="https://tempo-sp.com/vault/files/Tempo_LKO_IfThen_Opt3_Feb20.pdf" xr:uid="{F8A66E2C-D166-4B83-8319-FE8410B80ADC}"/>
    <hyperlink ref="C8" r:id="rId12" display="https://tempo-sp.com/vault/files/Tempo_LKO_Brochure_Apr20.pdf" xr:uid="{727CA391-470D-43D4-AA2A-FBC5C31F7196}"/>
    <hyperlink ref="E8" r:id="rId13" display="https://tempo-sp.com/vault/files/Tempo_Issue-12_LKO3_Maturity-performance-and-comparison.pdf" xr:uid="{3C31426D-0C0A-4498-AC19-AEF6ABEAD183}"/>
    <hyperlink ref="D8" r:id="rId14" display="https://tempo-sp.com/vault/files/Tempo_LKO_IfThen_Opt3_Apr20.pdf" xr:uid="{CC1D13C1-5067-4905-9F2E-1DFB70F1BAA9}"/>
    <hyperlink ref="C9" r:id="rId15" display="https://tempo-sp.com/vault/files/Tempo_LKO_Brochure_June20.pdf" xr:uid="{AA821BA2-7EAC-4F14-B137-78D7FFCD6FBD}"/>
    <hyperlink ref="E9" r:id="rId16" display="https://tempo-sp.com/vault/files/Tempo_Issue-13_LKO3_Maturity-performance-and-comparison.pdf" xr:uid="{655F7262-276A-4F83-B57C-C71E0D36DF66}"/>
    <hyperlink ref="D9" r:id="rId17" display="https://tempo-sp.com/vault/files/Tempo_LKO_Opt3_IfThen_June2020.pdf" xr:uid="{1A995143-C632-45C7-8A2C-BB9A4BF92D0E}"/>
    <hyperlink ref="C10" r:id="rId18" display="https://tempo-sp.com/vault/files/Tempo_LKO_Brochure_June20_PART2-1.pdf" xr:uid="{8246A43A-304B-4D0D-B42E-01BEB0BC8544}"/>
    <hyperlink ref="E10" r:id="rId19" display="https://tempo-sp.com/vault/files/Tempo_Issue-13.2_LKO3_Maturity-performance-and-comparison.pdf" xr:uid="{16264534-8C50-478B-B4BA-EDDD16D6457B}"/>
    <hyperlink ref="D10" r:id="rId20" display="https://tempo-sp.com/vault/files/Tempo_LKO_Opt3_IfThen_June20_Part2.pdf" xr:uid="{2B3245FD-479C-4598-AB8C-EDAAAD340CC8}"/>
    <hyperlink ref="E11" r:id="rId21" display="https://tempo-sp.com/vault/files/Tempo_Issue-13_BLKO3_Maturity-performance-and-comparison.pdf" xr:uid="{CB6D8FD0-92F1-4BD6-9BE7-F881092B2D5D}"/>
    <hyperlink ref="C11" r:id="rId22" display="https://tempo-sp.com/vault/files/Tempo_Bespoke_LKO_Opt3_Brochure_June20.pdf" xr:uid="{A392A6CC-0B83-4FB8-A0B8-59BE3A5550CF}"/>
    <hyperlink ref="D11" r:id="rId23" display="https://tempo-sp.com/vault/files/Tempo_Bespoke_LKO_Opt3_Ifthen_June20.pdf" xr:uid="{651E60E0-F6A9-4EAD-BD5B-BF2B17D73995}"/>
    <hyperlink ref="C12" r:id="rId24" display="https://tempo-sp.com/vault/files/Tempo_LKO_Brochure_July20.pdf" xr:uid="{93E49F55-D379-47CD-BB4F-2A860C0F24F0}"/>
    <hyperlink ref="D12" r:id="rId25" display="https://tempo-sp.com/vault/files/Tempo_LKO_Opt3_IfThen_July20.pdf" xr:uid="{5F15C5D8-1496-4659-8B39-546A585BC829}"/>
    <hyperlink ref="E12" r:id="rId26" display="https://tempo-sp.com/vault/files/Tempo_Issue-14_LKO3_Maturity-performance-and-comparison.pdf" xr:uid="{265B5C76-30D6-4060-A068-CE39F333A760}"/>
    <hyperlink ref="C13" r:id="rId27" xr:uid="{973B5083-4B54-4539-BE20-9A8C94A10041}"/>
    <hyperlink ref="D13" r:id="rId28" xr:uid="{75B6D837-AA35-4087-96EC-6FFE0A3ACDC6}"/>
    <hyperlink ref="E13" r:id="rId29" xr:uid="{9A87C3E2-CB13-4530-BBC7-38825573804D}"/>
    <hyperlink ref="E14" r:id="rId30" xr:uid="{5319EF32-6445-4134-996D-5BB4BE503D77}"/>
    <hyperlink ref="C14" r:id="rId31" xr:uid="{D2F503AE-88F0-453D-B17A-2DDBB080B892}"/>
    <hyperlink ref="D14" r:id="rId32" xr:uid="{68917DC9-CB73-47B2-BC3B-CEF3E90F654D}"/>
  </hyperlink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8D726-CD4C-4AC1-9774-AB801DFA17D2}">
  <dimension ref="A1:C21"/>
  <sheetViews>
    <sheetView workbookViewId="0"/>
  </sheetViews>
  <sheetFormatPr defaultRowHeight="14.5" x14ac:dyDescent="0.35"/>
  <cols>
    <col min="1" max="1" width="136.453125" customWidth="1"/>
  </cols>
  <sheetData>
    <row r="1" spans="1:3" ht="15" thickBot="1" x14ac:dyDescent="0.4"/>
    <row r="2" spans="1:3" ht="15" thickBot="1" x14ac:dyDescent="0.4">
      <c r="A2" s="335" t="s">
        <v>132</v>
      </c>
      <c r="B2" s="336"/>
      <c r="C2" s="337"/>
    </row>
    <row r="3" spans="1:3" x14ac:dyDescent="0.35">
      <c r="A3" s="160" t="s">
        <v>133</v>
      </c>
      <c r="B3" s="241">
        <f>COUNT('LKO &gt;100% of start level'!A:A)</f>
        <v>12</v>
      </c>
      <c r="C3" s="242">
        <f>B3/COUNT('All LKO plans'!A3:A45)</f>
        <v>0.2857142857142857</v>
      </c>
    </row>
    <row r="4" spans="1:3" x14ac:dyDescent="0.35">
      <c r="A4" s="110" t="s">
        <v>134</v>
      </c>
      <c r="B4" s="243">
        <f>B3</f>
        <v>12</v>
      </c>
      <c r="C4" s="237">
        <v>1</v>
      </c>
    </row>
    <row r="5" spans="1:3" x14ac:dyDescent="0.35">
      <c r="A5" s="191" t="s">
        <v>135</v>
      </c>
      <c r="B5" s="192">
        <f>MAX('LKO &gt;100% of start level'!U3:U13)</f>
        <v>0.20399999999999999</v>
      </c>
      <c r="C5" s="202">
        <f>MAX('LKO &gt;100% of start level'!V3:V13)</f>
        <v>0.17252383328607213</v>
      </c>
    </row>
    <row r="6" spans="1:3" x14ac:dyDescent="0.35">
      <c r="A6" s="191" t="s">
        <v>136</v>
      </c>
      <c r="B6" s="192">
        <f>MIN('LKO &gt;100% of start level'!U3:U13)</f>
        <v>0.1075</v>
      </c>
      <c r="C6" s="193">
        <f>MIN('LKO &gt;100% of start level'!V3:V13)</f>
        <v>9.7653399825005982E-2</v>
      </c>
    </row>
    <row r="7" spans="1:3" ht="15" thickBot="1" x14ac:dyDescent="0.4">
      <c r="A7" s="247" t="s">
        <v>137</v>
      </c>
      <c r="B7" s="248">
        <f>AVERAGE('LKO &gt;100% of start level'!U3:U13)</f>
        <v>0.15063636363636362</v>
      </c>
      <c r="C7" s="249">
        <f>AVERAGE('LKO &gt;100% of start level'!V3:V13)</f>
        <v>0.13189695924034936</v>
      </c>
    </row>
    <row r="8" spans="1:3" x14ac:dyDescent="0.35">
      <c r="A8" s="109" t="s">
        <v>138</v>
      </c>
      <c r="B8" s="241">
        <f>COUNTIF('LKO &gt;100% of start level'!AB3:AB14,"&gt;0")</f>
        <v>12</v>
      </c>
      <c r="C8" s="242">
        <f>B8/B3</f>
        <v>1</v>
      </c>
    </row>
    <row r="9" spans="1:3" x14ac:dyDescent="0.35">
      <c r="A9" s="252" t="s">
        <v>139</v>
      </c>
      <c r="B9" s="244">
        <f>MAX('LKO &gt;100% of start level'!AB3:AB14)</f>
        <v>0.34361548776399575</v>
      </c>
      <c r="C9" s="238">
        <f>(1+B9)^(1/5)-1</f>
        <v>6.0852490426636097E-2</v>
      </c>
    </row>
    <row r="10" spans="1:3" x14ac:dyDescent="0.35">
      <c r="A10" s="252" t="s">
        <v>140</v>
      </c>
      <c r="B10" s="244">
        <f>MIN('LKO &gt;100% of start level'!AB3:AB14)</f>
        <v>4.0000000000000001E-3</v>
      </c>
      <c r="C10" s="238">
        <f>MIN('LKO &gt;100% of start level'!AC3:AC14)</f>
        <v>1.2999999999999999E-3</v>
      </c>
    </row>
    <row r="11" spans="1:3" ht="15" thickBot="1" x14ac:dyDescent="0.4">
      <c r="A11" s="253" t="s">
        <v>141</v>
      </c>
      <c r="B11" s="250">
        <f>AVERAGE('LKO &gt;100% of start level'!AB3:AB14)</f>
        <v>0.16222356479030178</v>
      </c>
      <c r="C11" s="251">
        <f>AVERAGE('LKO &gt;100% of start level'!AC3:AC14)</f>
        <v>4.6954951552844348E-2</v>
      </c>
    </row>
    <row r="12" spans="1:3" x14ac:dyDescent="0.35">
      <c r="A12" s="261" t="s">
        <v>142</v>
      </c>
      <c r="B12" s="262">
        <f>MAX('LKO &gt;100% of start level'!AD3:AD14)</f>
        <v>0.22697694795572554</v>
      </c>
      <c r="C12" s="263">
        <f>MAX('LKO &gt;100% of start level'!AE3:AE14)</f>
        <v>0.22697694795572554</v>
      </c>
    </row>
    <row r="13" spans="1:3" x14ac:dyDescent="0.35">
      <c r="A13" s="254" t="s">
        <v>143</v>
      </c>
      <c r="B13" s="245">
        <f>MIN('LKO &gt;100% of start level'!AD3:AD14)</f>
        <v>3.0371365511947079E-2</v>
      </c>
      <c r="C13" s="239">
        <f>MIN('LKO &gt;100% of start level'!AE3:AE14)</f>
        <v>3.0371365511947079E-2</v>
      </c>
    </row>
    <row r="14" spans="1:3" ht="15" thickBot="1" x14ac:dyDescent="0.4">
      <c r="A14" s="264" t="s">
        <v>144</v>
      </c>
      <c r="B14" s="265">
        <f>AVERAGE('LKO &gt;100% of start level'!AD3:AD14)</f>
        <v>9.5188452066654494E-2</v>
      </c>
      <c r="C14" s="266">
        <f>AVERAGE('LKO &gt;100% of start level'!AE3:AE14)</f>
        <v>9.5188452066654494E-2</v>
      </c>
    </row>
    <row r="15" spans="1:3" x14ac:dyDescent="0.35">
      <c r="A15" s="258" t="s">
        <v>145</v>
      </c>
      <c r="B15" s="259">
        <f>MIN('LKO &gt;100% of start level'!I3:I14)</f>
        <v>0.3</v>
      </c>
      <c r="C15" s="260">
        <f>1-B15</f>
        <v>0.7</v>
      </c>
    </row>
    <row r="16" spans="1:3" x14ac:dyDescent="0.35">
      <c r="A16" s="255" t="s">
        <v>146</v>
      </c>
      <c r="B16" s="246">
        <f>MAX('LKO &gt;100% of start level'!I3:I14)</f>
        <v>0.6</v>
      </c>
      <c r="C16" s="240">
        <f t="shared" ref="C16:C17" si="0">1-B16</f>
        <v>0.4</v>
      </c>
    </row>
    <row r="17" spans="1:3" x14ac:dyDescent="0.35">
      <c r="A17" s="257" t="s">
        <v>147</v>
      </c>
      <c r="B17" s="246">
        <f>AVERAGE('LKO &gt;100% of start level'!I3:I14)</f>
        <v>0.50833333333333341</v>
      </c>
      <c r="C17" s="240">
        <f t="shared" si="0"/>
        <v>0.49166666666666659</v>
      </c>
    </row>
    <row r="18" spans="1:3" ht="15" thickBot="1" x14ac:dyDescent="0.4">
      <c r="A18" s="256" t="s">
        <v>148</v>
      </c>
      <c r="B18" s="351">
        <f>AVERAGE('LKO &gt;100% of start level'!AG3:AG14)</f>
        <v>0.58685511873332119</v>
      </c>
      <c r="C18" s="352"/>
    </row>
    <row r="19" spans="1:3" ht="15" thickBot="1" x14ac:dyDescent="0.4">
      <c r="A19" s="112" t="s">
        <v>11</v>
      </c>
      <c r="B19" s="81" t="s">
        <v>12</v>
      </c>
      <c r="C19" s="310">
        <v>3.17</v>
      </c>
    </row>
    <row r="21" spans="1:3" x14ac:dyDescent="0.35">
      <c r="A21" t="s">
        <v>149</v>
      </c>
    </row>
  </sheetData>
  <mergeCells count="2">
    <mergeCell ref="A2:C2"/>
    <mergeCell ref="B18:C18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5E9CA-69AD-4A34-9A0D-BABE94BD67BB}">
  <dimension ref="A1:AK25"/>
  <sheetViews>
    <sheetView zoomScale="90" zoomScaleNormal="90" workbookViewId="0">
      <pane xSplit="2" ySplit="2" topLeftCell="S3" activePane="bottomRight" state="frozen"/>
      <selection pane="topRight" activeCell="C1" sqref="C1"/>
      <selection pane="bottomLeft" activeCell="A3" sqref="A3"/>
      <selection pane="bottomRight" activeCell="A25" sqref="A25:XFD25"/>
    </sheetView>
  </sheetViews>
  <sheetFormatPr defaultRowHeight="14.5" x14ac:dyDescent="0.35"/>
  <cols>
    <col min="1" max="1" width="3.81640625" style="19" customWidth="1"/>
    <col min="2" max="2" width="19.1796875" customWidth="1"/>
    <col min="3" max="3" width="16.1796875" customWidth="1"/>
    <col min="4" max="4" width="14.81640625" customWidth="1"/>
    <col min="5" max="6" width="12.81640625" customWidth="1"/>
    <col min="7" max="7" width="12.54296875" customWidth="1"/>
    <col min="8" max="8" width="11.1796875" bestFit="1" customWidth="1"/>
    <col min="9" max="9" width="16.1796875" customWidth="1"/>
    <col min="10" max="10" width="17.81640625" customWidth="1"/>
    <col min="11" max="12" width="14.81640625" customWidth="1"/>
    <col min="13" max="13" width="21" customWidth="1"/>
    <col min="14" max="14" width="27.54296875" customWidth="1"/>
    <col min="15" max="15" width="17.1796875" customWidth="1"/>
    <col min="16" max="16" width="12" customWidth="1"/>
    <col min="17" max="17" width="18.81640625" customWidth="1"/>
    <col min="18" max="18" width="16" customWidth="1"/>
    <col min="19" max="19" width="15.81640625" customWidth="1"/>
    <col min="20" max="22" width="14" customWidth="1"/>
    <col min="23" max="23" width="21.1796875" bestFit="1" customWidth="1"/>
    <col min="24" max="24" width="13" customWidth="1"/>
    <col min="25" max="25" width="21.54296875" bestFit="1" customWidth="1"/>
    <col min="26" max="26" width="21.54296875" customWidth="1"/>
    <col min="27" max="27" width="31.453125" customWidth="1"/>
    <col min="28" max="28" width="19" customWidth="1"/>
    <col min="29" max="29" width="16.81640625" customWidth="1"/>
    <col min="30" max="31" width="18.1796875" customWidth="1"/>
    <col min="32" max="32" width="20.81640625" bestFit="1" customWidth="1"/>
    <col min="33" max="33" width="24" customWidth="1"/>
  </cols>
  <sheetData>
    <row r="1" spans="1:37" ht="15" thickBot="1" x14ac:dyDescent="0.4">
      <c r="A1" s="344" t="s">
        <v>150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6"/>
    </row>
    <row r="2" spans="1:37" ht="45" customHeight="1" thickBot="1" x14ac:dyDescent="0.4">
      <c r="A2" s="21"/>
      <c r="B2" s="10" t="s">
        <v>41</v>
      </c>
      <c r="C2" s="10" t="s">
        <v>42</v>
      </c>
      <c r="D2" s="172" t="s">
        <v>127</v>
      </c>
      <c r="E2" s="15" t="s">
        <v>44</v>
      </c>
      <c r="F2" s="10" t="s">
        <v>45</v>
      </c>
      <c r="G2" s="8" t="s">
        <v>46</v>
      </c>
      <c r="H2" s="9" t="s">
        <v>47</v>
      </c>
      <c r="I2" s="9" t="s">
        <v>48</v>
      </c>
      <c r="J2" s="15" t="s">
        <v>49</v>
      </c>
      <c r="K2" s="10" t="s">
        <v>50</v>
      </c>
      <c r="L2" s="14" t="s">
        <v>51</v>
      </c>
      <c r="M2" s="9" t="s">
        <v>52</v>
      </c>
      <c r="N2" s="9" t="s">
        <v>53</v>
      </c>
      <c r="O2" s="9" t="s">
        <v>54</v>
      </c>
      <c r="P2" s="9" t="s">
        <v>55</v>
      </c>
      <c r="Q2" s="9" t="s">
        <v>56</v>
      </c>
      <c r="R2" s="9" t="s">
        <v>57</v>
      </c>
      <c r="S2" s="9" t="s">
        <v>58</v>
      </c>
      <c r="T2" s="10" t="s">
        <v>59</v>
      </c>
      <c r="U2" s="15" t="s">
        <v>60</v>
      </c>
      <c r="V2" s="10" t="s">
        <v>61</v>
      </c>
      <c r="W2" s="52" t="s">
        <v>62</v>
      </c>
      <c r="X2" s="10" t="s">
        <v>63</v>
      </c>
      <c r="Y2" s="10" t="s">
        <v>64</v>
      </c>
      <c r="Z2" s="10" t="s">
        <v>65</v>
      </c>
      <c r="AA2" s="10" t="s">
        <v>66</v>
      </c>
      <c r="AB2" s="10" t="s">
        <v>67</v>
      </c>
      <c r="AC2" s="10" t="s">
        <v>68</v>
      </c>
      <c r="AD2" s="15" t="s">
        <v>69</v>
      </c>
      <c r="AE2" s="10" t="s">
        <v>70</v>
      </c>
      <c r="AF2" s="10" t="s">
        <v>71</v>
      </c>
      <c r="AG2" s="52" t="s">
        <v>72</v>
      </c>
    </row>
    <row r="3" spans="1:37" x14ac:dyDescent="0.35">
      <c r="A3" s="24">
        <v>1</v>
      </c>
      <c r="B3" s="178" t="s">
        <v>73</v>
      </c>
      <c r="C3" s="167" t="s">
        <v>74</v>
      </c>
      <c r="D3" s="169" t="s">
        <v>75</v>
      </c>
      <c r="E3" s="168" t="s">
        <v>44</v>
      </c>
      <c r="F3" s="315">
        <f>VLOOKUP($A3,'All LKO plans'!$A$3:$AG$29,F$25+1)</f>
        <v>43273</v>
      </c>
      <c r="G3" s="304">
        <f>VLOOKUP($A3,'All LKO plans'!$A$3:$AG$29,G$25+1)</f>
        <v>44369</v>
      </c>
      <c r="H3" s="39">
        <f>VLOOKUP($A3,'All LKO plans'!$A$3:$AG$29,H$25+1)</f>
        <v>1061.6199999999999</v>
      </c>
      <c r="I3" s="23">
        <f>VLOOKUP($A3,'All LKO plans'!$A$3:$AG$29,I$25+1)</f>
        <v>0.6</v>
      </c>
      <c r="J3" s="23">
        <f>VLOOKUP($A3,'All LKO plans'!$A$3:$AG$29,J$25+1)</f>
        <v>0.4</v>
      </c>
      <c r="K3" s="82">
        <f>VLOOKUP($A3,'All LKO plans'!$A$3:$AG$29,K$25+1)</f>
        <v>636.97199999999987</v>
      </c>
      <c r="L3" s="88">
        <f>VLOOKUP($A3,'All LKO plans'!$A$3:$AG$29,L$25+1)</f>
        <v>7.2999999999999995E-2</v>
      </c>
      <c r="M3" s="85">
        <f>VLOOKUP($A3,'All LKO plans'!$A$3:$AG$45,M$25+1)</f>
        <v>0.9</v>
      </c>
      <c r="N3" s="23">
        <f>VLOOKUP($A3,'All LKO plans'!$A$3:$AG$29,N$25+1)</f>
        <v>0.9</v>
      </c>
      <c r="O3" s="23">
        <f>VLOOKUP($A3,'All LKO plans'!$A$3:$AG$29,O$25+1)</f>
        <v>0.9</v>
      </c>
      <c r="P3" s="27">
        <f>VLOOKUP($A3,'All LKO plans'!$A$3:$AG$29,P$25+1)</f>
        <v>3</v>
      </c>
      <c r="Q3" s="22">
        <f>VLOOKUP($A3,'All LKO plans'!$A$3:$AG$29,Q$25+1)</f>
        <v>955.45799999999997</v>
      </c>
      <c r="R3" s="22">
        <f>VLOOKUP($A3,'All LKO plans'!$A$3:$AG$29,R$25+1)</f>
        <v>1056.74</v>
      </c>
      <c r="S3" s="91">
        <f>VLOOKUP($A3,'All LKO plans'!$A$3:$AG$29,S$25+1)</f>
        <v>0.99540325163429488</v>
      </c>
      <c r="T3" s="317">
        <f>VLOOKUP($A3,'All LKO plans'!$A$3:$AG$29,T$25+1)</f>
        <v>0.21899999999999997</v>
      </c>
      <c r="U3" s="88">
        <f>VLOOKUP($A3,'All LKO plans'!$A$3:$AG$43,U$25+1)</f>
        <v>7.2999999999999995E-2</v>
      </c>
      <c r="V3" s="318">
        <f>VLOOKUP($A3,'All LKO plans'!$A$3:$AG$43,V$25+1)</f>
        <v>6.8237702331613859E-2</v>
      </c>
      <c r="W3" s="31">
        <f>VLOOKUP($A3,'All LKO plans'!$A$3:$AG$29,W$25+1)</f>
        <v>0</v>
      </c>
      <c r="X3" s="54">
        <f>VLOOKUP($A3,'All LKO plans'!$A$3:$AG$29,X$25+1)</f>
        <v>1</v>
      </c>
      <c r="Y3" s="54">
        <f>VLOOKUP($A3,'All LKO plans'!$A$3:$AG$29,Y$25+1)</f>
        <v>0</v>
      </c>
      <c r="Z3" s="54" t="str">
        <f>VLOOKUP($A3,'All LKO plans'!$A$3:$AG$29,Z$25+1)</f>
        <v>Daily / No charge</v>
      </c>
      <c r="AA3" s="97">
        <f>VLOOKUP($A3,'All LKO plans'!$A$3:$AG$29,AA$25+1)</f>
        <v>2.8000000000000001E-2</v>
      </c>
      <c r="AB3" s="103">
        <f>VLOOKUP($A3,'All LKO plans'!$A$3:$AG$29,AB$25+1)</f>
        <v>0.19099999999999998</v>
      </c>
      <c r="AC3" s="105">
        <f>VLOOKUP($A3,'All LKO plans'!$A$3:$AG$29,AC$25+1)</f>
        <v>5.9995253331064369E-2</v>
      </c>
      <c r="AD3" s="100">
        <f>VLOOKUP($A3,'All LKO plans'!$A$3:$AG$29,AD$25+1)</f>
        <v>9.5403251634294861E-2</v>
      </c>
      <c r="AE3" s="49">
        <f>VLOOKUP($A3,'All LKO plans'!$A$3:$AG$29,AE$25+1)</f>
        <v>9.5403251634294861E-2</v>
      </c>
      <c r="AF3" s="73">
        <f>VLOOKUP($A3,'All LKO plans'!$A$3:$AG$29,AF$25+1)</f>
        <v>0.73</v>
      </c>
      <c r="AG3" s="34">
        <f>VLOOKUP($A3,'All LKO plans'!$A$3:$AG$29,AG$25+1)</f>
        <v>0.39540325163429491</v>
      </c>
    </row>
    <row r="4" spans="1:37" x14ac:dyDescent="0.35">
      <c r="A4" s="25">
        <v>2</v>
      </c>
      <c r="B4" s="179" t="s">
        <v>77</v>
      </c>
      <c r="C4" s="167" t="s">
        <v>74</v>
      </c>
      <c r="D4" s="169" t="s">
        <v>75</v>
      </c>
      <c r="E4" s="168" t="s">
        <v>44</v>
      </c>
      <c r="F4" s="313">
        <f>VLOOKUP($A4,'All LKO plans'!$A$3:$AG$29,F$25+1)</f>
        <v>43336</v>
      </c>
      <c r="G4" s="305">
        <f>VLOOKUP($A4,'All LKO plans'!$A$3:$AG$29,G$25+1)</f>
        <v>44432</v>
      </c>
      <c r="H4" s="40">
        <f>VLOOKUP($A4,'All LKO plans'!$A$3:$AG$29,H$25+1)</f>
        <v>1042.0999999999999</v>
      </c>
      <c r="I4" s="1">
        <f>VLOOKUP($A4,'All LKO plans'!$A$3:$AG$29,I$25+1)</f>
        <v>0.6</v>
      </c>
      <c r="J4" s="3">
        <f>VLOOKUP($A4,'All LKO plans'!$A$3:$AG$29,J$25+1)</f>
        <v>0.4</v>
      </c>
      <c r="K4" s="83">
        <f>VLOOKUP($A4,'All LKO plans'!$A$3:$AG$29,K$25+1)</f>
        <v>625.25999999999988</v>
      </c>
      <c r="L4" s="89">
        <f>VLOOKUP($A4,'All LKO plans'!$A$3:$AG$29,L$25+1)</f>
        <v>7.2999999999999995E-2</v>
      </c>
      <c r="M4" s="86">
        <f>VLOOKUP($A4,'All LKO plans'!$A$3:$AG$29,M$25+1)</f>
        <v>0.9</v>
      </c>
      <c r="N4" s="3">
        <f>VLOOKUP($A4,'All LKO plans'!$A$3:$AG$29,N$25+1)</f>
        <v>0.9</v>
      </c>
      <c r="O4" s="3">
        <f>VLOOKUP($A4,'All LKO plans'!$A$3:$AG$29,O$25+1)</f>
        <v>0.9</v>
      </c>
      <c r="P4" s="28">
        <f>VLOOKUP($A4,'All LKO plans'!$A$3:$AG$29,P$25+1)</f>
        <v>3</v>
      </c>
      <c r="Q4" s="5">
        <f>VLOOKUP($A4,'All LKO plans'!$A$3:$AG$29,Q$25+1)</f>
        <v>937.89</v>
      </c>
      <c r="R4" s="5">
        <f>VLOOKUP($A4,'All LKO plans'!$A$3:$AG$29,R$25+1)</f>
        <v>1073.75</v>
      </c>
      <c r="S4" s="92">
        <f>VLOOKUP($A4,'All LKO plans'!$A$3:$AG$29,S$25+1)</f>
        <v>1.0303713655119471</v>
      </c>
      <c r="T4" s="280">
        <f>VLOOKUP($A4,'All LKO plans'!$A$3:$AG$29,T$25+1)</f>
        <v>0.21899999999999997</v>
      </c>
      <c r="U4" s="90">
        <f>VLOOKUP($A4,'All LKO plans'!$A$3:$AG$43,U$25+1)</f>
        <v>7.2999999999999995E-2</v>
      </c>
      <c r="V4" s="318">
        <f>VLOOKUP($A4,'All LKO plans'!$A$3:$AG$43,V$25+1)</f>
        <v>6.8237702331613859E-2</v>
      </c>
      <c r="W4" s="95">
        <f>VLOOKUP($A4,'All LKO plans'!$A$3:$AG$29,W$25+1)</f>
        <v>0</v>
      </c>
      <c r="X4" s="32">
        <f>VLOOKUP($A4,'All LKO plans'!$A$3:$AG$29,X$25+1)</f>
        <v>1</v>
      </c>
      <c r="Y4" s="32">
        <f>VLOOKUP($A4,'All LKO plans'!$A$3:$AG$29,Y$25+1)</f>
        <v>0</v>
      </c>
      <c r="Z4" s="32" t="str">
        <f>VLOOKUP($A4,'All LKO plans'!$A$3:$AG$29,Z$25+1)</f>
        <v>Daily / No charge</v>
      </c>
      <c r="AA4" s="98">
        <f>VLOOKUP($A4,'All LKO plans'!$A$3:$AG$29,AA$25+1)</f>
        <v>4.7199999999999999E-2</v>
      </c>
      <c r="AB4" s="104">
        <f>VLOOKUP($A4,'All LKO plans'!$A$3:$AG$29,AB$25+1)</f>
        <v>0.17179999999999998</v>
      </c>
      <c r="AC4" s="106">
        <f>VLOOKUP($A4,'All LKO plans'!$A$3:$AG$29,AC$25+1)</f>
        <v>5.426833960960864E-2</v>
      </c>
      <c r="AD4" s="101">
        <f>VLOOKUP($A4,'All LKO plans'!$A$3:$AG$29,AD$25+1)</f>
        <v>0.13037136551194706</v>
      </c>
      <c r="AE4" s="50">
        <f>VLOOKUP($A4,'All LKO plans'!$A$3:$AG$29,AE$25+1)</f>
        <v>0.13037136551194706</v>
      </c>
      <c r="AF4" s="72">
        <f>VLOOKUP($A4,'All LKO plans'!$A$3:$AG$29,AF$25+1)</f>
        <v>0.73</v>
      </c>
      <c r="AG4" s="35">
        <f>VLOOKUP($A4,'All LKO plans'!$A$3:$AG$29,AG$25+1)</f>
        <v>0.4303713655119471</v>
      </c>
    </row>
    <row r="5" spans="1:37" x14ac:dyDescent="0.35">
      <c r="A5" s="25">
        <v>5</v>
      </c>
      <c r="B5" s="179" t="s">
        <v>81</v>
      </c>
      <c r="C5" s="167" t="s">
        <v>74</v>
      </c>
      <c r="D5" s="169" t="s">
        <v>75</v>
      </c>
      <c r="E5" s="168" t="s">
        <v>44</v>
      </c>
      <c r="F5" s="313">
        <f>VLOOKUP($A5,'All LKO plans'!$A$3:$AG$29,F$25+1)</f>
        <v>43399</v>
      </c>
      <c r="G5" s="305">
        <f>VLOOKUP($A5,'All LKO plans'!$A$3:$AG$29,G$25+1)</f>
        <v>44495</v>
      </c>
      <c r="H5" s="40">
        <f>VLOOKUP($A5,'All LKO plans'!$A$3:$AG$29,H$25+1)</f>
        <v>929.79</v>
      </c>
      <c r="I5" s="1">
        <f>VLOOKUP($A5,'All LKO plans'!$A$3:$AG$29,I$25+1)</f>
        <v>0.6</v>
      </c>
      <c r="J5" s="3">
        <f>VLOOKUP($A5,'All LKO plans'!$A$3:$AG$29,J$25+1)</f>
        <v>0.4</v>
      </c>
      <c r="K5" s="83">
        <f>VLOOKUP($A5,'All LKO plans'!$A$3:$AG$29,K$25+1)</f>
        <v>557.87399999999991</v>
      </c>
      <c r="L5" s="89">
        <f>VLOOKUP($A5,'All LKO plans'!$A$3:$AG$29,L$25+1)</f>
        <v>7.3999999999999996E-2</v>
      </c>
      <c r="M5" s="86">
        <f>VLOOKUP($A5,'All LKO plans'!$A$3:$AG$29,M$25+1)</f>
        <v>0.9</v>
      </c>
      <c r="N5" s="3">
        <f>VLOOKUP($A5,'All LKO plans'!$A$3:$AG$29,N$25+1)</f>
        <v>0.9</v>
      </c>
      <c r="O5" s="3">
        <f>VLOOKUP($A5,'All LKO plans'!$A$3:$AG$29,O$25+1)</f>
        <v>0.9</v>
      </c>
      <c r="P5" s="28">
        <f>VLOOKUP($A5,'All LKO plans'!$A$3:$AG$29,P$25+1)</f>
        <v>3</v>
      </c>
      <c r="Q5" s="5">
        <f>VLOOKUP($A5,'All LKO plans'!$A$3:$AG$29,Q$25+1)</f>
        <v>836.81100000000004</v>
      </c>
      <c r="R5" s="5">
        <f>VLOOKUP($A5,'All LKO plans'!$A$3:$AG$29,R$25+1)</f>
        <v>1061.6300000000001</v>
      </c>
      <c r="S5" s="92">
        <f>VLOOKUP($A5,'All LKO plans'!$A$3:$AG$29,S$25+1)</f>
        <v>1.1417954591897097</v>
      </c>
      <c r="T5" s="280">
        <f>VLOOKUP($A5,'All LKO plans'!$A$3:$AG$29,T$25+1)</f>
        <v>0.22199999999999998</v>
      </c>
      <c r="U5" s="90">
        <f>VLOOKUP($A5,'All LKO plans'!$A$3:$AG$43,U$25+1)</f>
        <v>7.3999999999999996E-2</v>
      </c>
      <c r="V5" s="318">
        <f>VLOOKUP($A5,'All LKO plans'!$A$3:$AG$43,V$25+1)</f>
        <v>6.9113307397686619E-2</v>
      </c>
      <c r="W5" s="95">
        <f>VLOOKUP($A5,'All LKO plans'!$A$3:$AG$29,W$25+1)</f>
        <v>0</v>
      </c>
      <c r="X5" s="32">
        <f>VLOOKUP($A5,'All LKO plans'!$A$3:$AG$29,X$25+1)</f>
        <v>1</v>
      </c>
      <c r="Y5" s="32">
        <f>VLOOKUP($A5,'All LKO plans'!$A$3:$AG$29,Y$25+1)</f>
        <v>0</v>
      </c>
      <c r="Z5" s="32" t="str">
        <f>VLOOKUP($A5,'All LKO plans'!$A$3:$AG$29,Z$25+1)</f>
        <v>Daily / No charge</v>
      </c>
      <c r="AA5" s="98">
        <f>VLOOKUP($A5,'All LKO plans'!$A$3:$AG$29,AA$25+1)</f>
        <v>0.1741</v>
      </c>
      <c r="AB5" s="104">
        <f>VLOOKUP($A5,'All LKO plans'!$A$3:$AG$29,AB$25+1)</f>
        <v>4.789999999999997E-2</v>
      </c>
      <c r="AC5" s="106">
        <f>VLOOKUP($A5,'All LKO plans'!$A$3:$AG$29,AC$25+1)</f>
        <v>1.5718307009334964E-2</v>
      </c>
      <c r="AD5" s="101">
        <f>VLOOKUP($A5,'All LKO plans'!$A$3:$AG$29,AD$25+1)</f>
        <v>0.24179545918970968</v>
      </c>
      <c r="AE5" s="50">
        <f>VLOOKUP($A5,'All LKO plans'!$A$3:$AG$29,AE$25+1)</f>
        <v>0.24179545918970968</v>
      </c>
      <c r="AF5" s="72">
        <f>VLOOKUP($A5,'All LKO plans'!$A$3:$AG$29,AF$25+1)</f>
        <v>0.74</v>
      </c>
      <c r="AG5" s="35">
        <f>VLOOKUP($A5,'All LKO plans'!$A$3:$AG$29,AG$25+1)</f>
        <v>0.54179545918970973</v>
      </c>
    </row>
    <row r="6" spans="1:37" x14ac:dyDescent="0.35">
      <c r="A6" s="25">
        <v>8</v>
      </c>
      <c r="B6" s="179" t="s">
        <v>84</v>
      </c>
      <c r="C6" s="167" t="s">
        <v>74</v>
      </c>
      <c r="D6" s="169" t="s">
        <v>75</v>
      </c>
      <c r="E6" s="168" t="s">
        <v>44</v>
      </c>
      <c r="F6" s="313">
        <f>VLOOKUP($A6,'All LKO plans'!$A$3:$AG$29,F$25+1)</f>
        <v>43463</v>
      </c>
      <c r="G6" s="305">
        <f>VLOOKUP($A6,'All LKO plans'!$A$3:$AG$29,G$25+1)</f>
        <v>44559</v>
      </c>
      <c r="H6" s="40">
        <f>VLOOKUP($A6,'All LKO plans'!$A$3:$AG$29,H$25+1)</f>
        <v>895.37</v>
      </c>
      <c r="I6" s="1">
        <f>VLOOKUP($A6,'All LKO plans'!$A$3:$AG$29,I$25+1)</f>
        <v>0.6</v>
      </c>
      <c r="J6" s="3">
        <f>VLOOKUP($A6,'All LKO plans'!$A$3:$AG$29,J$25+1)</f>
        <v>0.4</v>
      </c>
      <c r="K6" s="83">
        <f>VLOOKUP($A6,'All LKO plans'!$A$3:$AG$29,K$25+1)</f>
        <v>537.22199999999998</v>
      </c>
      <c r="L6" s="89">
        <f>VLOOKUP($A6,'All LKO plans'!$A$3:$AG$29,L$25+1)</f>
        <v>8.5000000000000006E-2</v>
      </c>
      <c r="M6" s="86">
        <f>VLOOKUP($A6,'All LKO plans'!$A$3:$AG$29,M$25+1)</f>
        <v>0.9</v>
      </c>
      <c r="N6" s="3">
        <f>VLOOKUP($A6,'All LKO plans'!$A$3:$AG$29,N$25+1)</f>
        <v>0.9</v>
      </c>
      <c r="O6" s="3">
        <f>VLOOKUP($A6,'All LKO plans'!$A$3:$AG$29,O$25+1)</f>
        <v>0.9</v>
      </c>
      <c r="P6" s="28">
        <f>VLOOKUP($A6,'All LKO plans'!$A$3:$AG$29,P$25+1)</f>
        <v>3</v>
      </c>
      <c r="Q6" s="5">
        <f>VLOOKUP($A6,'All LKO plans'!$A$3:$AG$29,Q$25+1)</f>
        <v>805.83299999999997</v>
      </c>
      <c r="R6" s="5">
        <f>VLOOKUP($A6,'All LKO plans'!$A$3:$AG$29,R$25+1)</f>
        <v>1076.1500000000001</v>
      </c>
      <c r="S6" s="92">
        <f>VLOOKUP($A6,'All LKO plans'!$A$3:$AG$29,S$25+1)</f>
        <v>1.2019053575616785</v>
      </c>
      <c r="T6" s="280">
        <f>VLOOKUP($A6,'All LKO plans'!$A$3:$AG$29,T$25+1)</f>
        <v>0.255</v>
      </c>
      <c r="U6" s="90">
        <f>VLOOKUP($A6,'All LKO plans'!$A$3:$AG$43,U$25+1)</f>
        <v>8.5000000000000006E-2</v>
      </c>
      <c r="V6" s="318">
        <f>VLOOKUP($A6,'All LKO plans'!$A$3:$AG$43,V$25+1)</f>
        <v>7.8651724000596834E-2</v>
      </c>
      <c r="W6" s="95">
        <f>VLOOKUP($A6,'All LKO plans'!$A$3:$AG$29,W$25+1)</f>
        <v>0</v>
      </c>
      <c r="X6" s="32">
        <f>VLOOKUP($A6,'All LKO plans'!$A$3:$AG$29,X$25+1)</f>
        <v>1</v>
      </c>
      <c r="Y6" s="32">
        <f>VLOOKUP($A6,'All LKO plans'!$A$3:$AG$29,Y$25+1)</f>
        <v>0</v>
      </c>
      <c r="Z6" s="32" t="str">
        <f>VLOOKUP($A6,'All LKO plans'!$A$3:$AG$29,Z$25+1)</f>
        <v>Daily / No charge</v>
      </c>
      <c r="AA6" s="98">
        <f>VLOOKUP($A6,'All LKO plans'!$A$3:$AG$29,AA$25+1)</f>
        <v>0.23180000000000001</v>
      </c>
      <c r="AB6" s="104">
        <f>VLOOKUP($A6,'All LKO plans'!$A$3:$AG$29,AB$25+1)</f>
        <v>2.3199999999999998E-2</v>
      </c>
      <c r="AC6" s="106">
        <f>VLOOKUP($A6,'All LKO plans'!$A$3:$AG$29,AC$25+1)</f>
        <v>7.674287979061889E-3</v>
      </c>
      <c r="AD6" s="101">
        <f>VLOOKUP($A6,'All LKO plans'!$A$3:$AG$29,AD$25+1)</f>
        <v>0.30190535756167847</v>
      </c>
      <c r="AE6" s="50">
        <f>VLOOKUP($A6,'All LKO plans'!$A$3:$AG$29,AE$25+1)</f>
        <v>0.30190535756167847</v>
      </c>
      <c r="AF6" s="72">
        <f>VLOOKUP($A6,'All LKO plans'!$A$3:$AG$29,AF$25+1)</f>
        <v>0.85000000000000009</v>
      </c>
      <c r="AG6" s="35">
        <f>VLOOKUP($A6,'All LKO plans'!$A$3:$AG$29,AG$25+1)</f>
        <v>0.60190535756167851</v>
      </c>
    </row>
    <row r="7" spans="1:37" x14ac:dyDescent="0.35">
      <c r="A7" s="25">
        <v>11</v>
      </c>
      <c r="B7" s="179" t="s">
        <v>87</v>
      </c>
      <c r="C7" s="167" t="s">
        <v>74</v>
      </c>
      <c r="D7" s="169" t="s">
        <v>75</v>
      </c>
      <c r="E7" s="168" t="s">
        <v>44</v>
      </c>
      <c r="F7" s="313">
        <f>VLOOKUP($A7,'All LKO plans'!$A$3:$AG$29,F$25+1)</f>
        <v>43518</v>
      </c>
      <c r="G7" s="305">
        <f>VLOOKUP($A7,'All LKO plans'!$A$3:$AG$29,G$25+1)</f>
        <v>44614</v>
      </c>
      <c r="H7" s="40">
        <f>VLOOKUP($A7,'All LKO plans'!$A$3:$AG$29,H$25+1)</f>
        <v>968.05</v>
      </c>
      <c r="I7" s="1">
        <f>VLOOKUP($A7,'All LKO plans'!$A$3:$AG$29,I$25+1)</f>
        <v>0.6</v>
      </c>
      <c r="J7" s="3">
        <f>VLOOKUP($A7,'All LKO plans'!$A$3:$AG$29,J$25+1)</f>
        <v>0.4</v>
      </c>
      <c r="K7" s="83">
        <f>VLOOKUP($A7,'All LKO plans'!$A$3:$AG$29,K$25+1)</f>
        <v>580.82999999999993</v>
      </c>
      <c r="L7" s="89">
        <f>VLOOKUP($A7,'All LKO plans'!$A$3:$AG$29,L$25+1)</f>
        <v>9.8500000000000004E-2</v>
      </c>
      <c r="M7" s="86">
        <f>VLOOKUP($A7,'All LKO plans'!$A$3:$AG$29,M$25+1)</f>
        <v>0.9</v>
      </c>
      <c r="N7" s="3">
        <f>VLOOKUP($A7,'All LKO plans'!$A$3:$AG$29,N$25+1)</f>
        <v>0.9</v>
      </c>
      <c r="O7" s="3">
        <f>VLOOKUP($A7,'All LKO plans'!$A$3:$AG$29,O$25+1)</f>
        <v>0.9</v>
      </c>
      <c r="P7" s="28">
        <f>VLOOKUP($A7,'All LKO plans'!$A$3:$AG$29,P$25+1)</f>
        <v>3</v>
      </c>
      <c r="Q7" s="5">
        <f>VLOOKUP($A7,'All LKO plans'!$A$3:$AG$29,Q$25+1)</f>
        <v>871.245</v>
      </c>
      <c r="R7" s="5">
        <f>VLOOKUP($A7,'All LKO plans'!$A$3:$AG$29,R$25+1)</f>
        <v>1017.73</v>
      </c>
      <c r="S7" s="92">
        <f>VLOOKUP($A7,'All LKO plans'!$A$3:$AG$29,S$25+1)</f>
        <v>1.0513196632405353</v>
      </c>
      <c r="T7" s="280">
        <f>VLOOKUP($A7,'All LKO plans'!$A$3:$AG$29,T$25+1)</f>
        <v>0.29549999999999998</v>
      </c>
      <c r="U7" s="90">
        <f>VLOOKUP($A7,'All LKO plans'!$A$3:$AG$43,U$25+1)</f>
        <v>9.849999999999999E-2</v>
      </c>
      <c r="V7" s="318">
        <f>VLOOKUP($A7,'All LKO plans'!$A$3:$AG$43,V$25+1)</f>
        <v>9.0132127742020396E-2</v>
      </c>
      <c r="W7" s="95">
        <f>VLOOKUP($A7,'All LKO plans'!$A$3:$AG$29,W$25+1)</f>
        <v>0</v>
      </c>
      <c r="X7" s="32">
        <f>VLOOKUP($A7,'All LKO plans'!$A$3:$AG$29,X$25+1)</f>
        <v>1</v>
      </c>
      <c r="Y7" s="32">
        <f>VLOOKUP($A7,'All LKO plans'!$A$3:$AG$29,Y$25+1)</f>
        <v>0</v>
      </c>
      <c r="Z7" s="32" t="str">
        <f>VLOOKUP($A7,'All LKO plans'!$A$3:$AG$29,Z$25+1)</f>
        <v>Daily / No charge</v>
      </c>
      <c r="AA7" s="98">
        <f>VLOOKUP($A7,'All LKO plans'!$A$3:$AG$29,AA$25+1)</f>
        <v>0.16200000000000001</v>
      </c>
      <c r="AB7" s="104">
        <f>VLOOKUP($A7,'All LKO plans'!$A$3:$AG$29,AB$25+1)</f>
        <v>0.13349999999999998</v>
      </c>
      <c r="AC7" s="106">
        <f>VLOOKUP($A7,'All LKO plans'!$A$3:$AG$29,AC$25+1)</f>
        <v>4.2654706973433321E-2</v>
      </c>
      <c r="AD7" s="101">
        <f>VLOOKUP($A7,'All LKO plans'!$A$3:$AG$29,AD$25+1)</f>
        <v>0.15131966324053525</v>
      </c>
      <c r="AE7" s="50">
        <f>VLOOKUP($A7,'All LKO plans'!$A$3:$AG$29,AE$25+1)</f>
        <v>0.15131966324053525</v>
      </c>
      <c r="AF7" s="72">
        <f>VLOOKUP($A7,'All LKO plans'!$A$3:$AG$29,AF$25+1)</f>
        <v>0.98499999999999988</v>
      </c>
      <c r="AG7" s="35">
        <f>VLOOKUP($A7,'All LKO plans'!$A$3:$AG$29,AG$25+1)</f>
        <v>0.4513196632405353</v>
      </c>
    </row>
    <row r="8" spans="1:37" x14ac:dyDescent="0.35">
      <c r="A8" s="25">
        <v>14</v>
      </c>
      <c r="B8" s="179" t="s">
        <v>90</v>
      </c>
      <c r="C8" s="167" t="s">
        <v>74</v>
      </c>
      <c r="D8" s="169" t="s">
        <v>75</v>
      </c>
      <c r="E8" s="168" t="s">
        <v>44</v>
      </c>
      <c r="F8" s="313">
        <f>VLOOKUP($A8,'All LKO plans'!$A$3:$AG$29,F$25+1)</f>
        <v>43581</v>
      </c>
      <c r="G8" s="305">
        <f>VLOOKUP($A8,'All LKO plans'!$A$3:$AG$29,G$25+1)</f>
        <v>44677</v>
      </c>
      <c r="H8" s="40">
        <f>VLOOKUP($A8,'All LKO plans'!$A$3:$AG$29,H$25+1)</f>
        <v>1014.15</v>
      </c>
      <c r="I8" s="1">
        <f>VLOOKUP($A8,'All LKO plans'!$A$3:$AG$29,I$25+1)</f>
        <v>0.6</v>
      </c>
      <c r="J8" s="3">
        <f>VLOOKUP($A8,'All LKO plans'!$A$3:$AG$29,J$25+1)</f>
        <v>0.4</v>
      </c>
      <c r="K8" s="83">
        <f>VLOOKUP($A8,'All LKO plans'!$A$3:$AG$29,K$25+1)</f>
        <v>608.49</v>
      </c>
      <c r="L8" s="89">
        <f>VLOOKUP($A8,'All LKO plans'!$A$3:$AG$29,L$25+1)</f>
        <v>8.1000000000000003E-2</v>
      </c>
      <c r="M8" s="86">
        <f>VLOOKUP($A8,'All LKO plans'!$A$3:$AG$29,M$25+1)</f>
        <v>0.9</v>
      </c>
      <c r="N8" s="3">
        <f>VLOOKUP($A8,'All LKO plans'!$A$3:$AG$29,N$25+1)</f>
        <v>0.9</v>
      </c>
      <c r="O8" s="3">
        <f>VLOOKUP($A8,'All LKO plans'!$A$3:$AG$29,O$25+1)</f>
        <v>0.9</v>
      </c>
      <c r="P8" s="28">
        <f>VLOOKUP($A8,'All LKO plans'!$A$3:$AG$29,P$25+1)</f>
        <v>3</v>
      </c>
      <c r="Q8" s="5">
        <f>VLOOKUP($A8,'All LKO plans'!$A$3:$AG$29,Q$25+1)</f>
        <v>912.73500000000001</v>
      </c>
      <c r="R8" s="5">
        <f>VLOOKUP($A8,'All LKO plans'!$A$3:$AG$29,R$25+1)</f>
        <v>944.42</v>
      </c>
      <c r="S8" s="92">
        <f>VLOOKUP($A8,'All LKO plans'!$A$3:$AG$29,S$25+1)</f>
        <v>0.93124291278410487</v>
      </c>
      <c r="T8" s="280">
        <f>VLOOKUP($A8,'All LKO plans'!$A$3:$AG$29,T$25+1)</f>
        <v>0.24299999999999999</v>
      </c>
      <c r="U8" s="90">
        <f>VLOOKUP($A8,'All LKO plans'!$A$3:$AG$43,U$25+1)</f>
        <v>8.1000000000000003E-2</v>
      </c>
      <c r="V8" s="318">
        <f>VLOOKUP($A8,'All LKO plans'!$A$3:$AG$43,V$25+1)</f>
        <v>7.5202774079908163E-2</v>
      </c>
      <c r="W8" s="95">
        <f>VLOOKUP($A8,'All LKO plans'!$A$3:$AG$29,W$25+1)</f>
        <v>0</v>
      </c>
      <c r="X8" s="32">
        <f>VLOOKUP($A8,'All LKO plans'!$A$3:$AG$29,X$25+1)</f>
        <v>1</v>
      </c>
      <c r="Y8" s="32">
        <f>VLOOKUP($A8,'All LKO plans'!$A$3:$AG$29,Y$25+1)</f>
        <v>0</v>
      </c>
      <c r="Z8" s="32" t="str">
        <f>VLOOKUP($A8,'All LKO plans'!$A$3:$AG$29,Z$25+1)</f>
        <v>Daily / No charge</v>
      </c>
      <c r="AA8" s="98">
        <f>VLOOKUP($A8,'All LKO plans'!$A$3:$AG$29,AA$25+1)</f>
        <v>0.10920000000000001</v>
      </c>
      <c r="AB8" s="104">
        <f>VLOOKUP($A8,'All LKO plans'!$A$3:$AG$29,AB$25+1)</f>
        <v>0.13379999999999997</v>
      </c>
      <c r="AC8" s="106">
        <f>VLOOKUP($A8,'All LKO plans'!$A$3:$AG$29,AC$25+1)</f>
        <v>4.2746684276925073E-2</v>
      </c>
      <c r="AD8" s="101">
        <f>VLOOKUP($A8,'All LKO plans'!$A$3:$AG$29,AD$25+1)</f>
        <v>3.1242912784104848E-2</v>
      </c>
      <c r="AE8" s="50">
        <f>VLOOKUP($A8,'All LKO plans'!$A$3:$AG$29,AE$25+1)</f>
        <v>3.1242912784104848E-2</v>
      </c>
      <c r="AF8" s="72">
        <f>VLOOKUP($A8,'All LKO plans'!$A$3:$AG$29,AF$25+1)</f>
        <v>0.81</v>
      </c>
      <c r="AG8" s="35">
        <f>VLOOKUP($A8,'All LKO plans'!$A$3:$AG$29,AG$25+1)</f>
        <v>0.33124291278410489</v>
      </c>
    </row>
    <row r="9" spans="1:37" x14ac:dyDescent="0.35">
      <c r="A9" s="25">
        <v>15</v>
      </c>
      <c r="B9" s="179" t="s">
        <v>91</v>
      </c>
      <c r="C9" s="167" t="s">
        <v>74</v>
      </c>
      <c r="D9" s="169" t="s">
        <v>75</v>
      </c>
      <c r="E9" s="168" t="s">
        <v>44</v>
      </c>
      <c r="F9" s="313">
        <f>VLOOKUP($A9,'All LKO plans'!$A$3:$AG$29,F$25+1)</f>
        <v>43644</v>
      </c>
      <c r="G9" s="305">
        <f>VLOOKUP($A9,'All LKO plans'!$A$3:$AG$29,G$25+1)</f>
        <v>44740</v>
      </c>
      <c r="H9" s="40">
        <f>VLOOKUP($A9,'All LKO plans'!$A$3:$AG$29,H$25+1)</f>
        <v>991.63</v>
      </c>
      <c r="I9" s="1">
        <f>VLOOKUP($A9,'All LKO plans'!$A$3:$AG$29,I$25+1)</f>
        <v>0.6</v>
      </c>
      <c r="J9" s="3">
        <f>VLOOKUP($A9,'All LKO plans'!$A$3:$AG$29,J$25+1)</f>
        <v>0.4</v>
      </c>
      <c r="K9" s="83">
        <f>VLOOKUP($A9,'All LKO plans'!$A$3:$AG$29,K$25+1)</f>
        <v>594.97799999999995</v>
      </c>
      <c r="L9" s="89">
        <f>VLOOKUP($A9,'All LKO plans'!$A$3:$AG$29,L$25+1)</f>
        <v>8.2500000000000004E-2</v>
      </c>
      <c r="M9" s="86">
        <f>VLOOKUP($A9,'All LKO plans'!$A$3:$AG$29,M$25+1)</f>
        <v>0.9</v>
      </c>
      <c r="N9" s="3">
        <f>VLOOKUP($A9,'All LKO plans'!$A$3:$AG$29,N$25+1)</f>
        <v>0.9</v>
      </c>
      <c r="O9" s="3">
        <f>VLOOKUP($A9,'All LKO plans'!$A$3:$AG$29,O$25+1)</f>
        <v>0.9</v>
      </c>
      <c r="P9" s="28">
        <f>VLOOKUP($A9,'All LKO plans'!$A$3:$AG$29,P$25+1)</f>
        <v>3</v>
      </c>
      <c r="Q9" s="5">
        <f>VLOOKUP($A9,'All LKO plans'!$A$3:$AG$29,Q$25+1)</f>
        <v>892.46699999999998</v>
      </c>
      <c r="R9" s="5">
        <f>VLOOKUP($A9,'All LKO plans'!$A$3:$AG$29,R$25+1)</f>
        <v>897.54</v>
      </c>
      <c r="S9" s="92">
        <f>VLOOKUP($A9,'All LKO plans'!$A$3:$AG$29,S$25+1)</f>
        <v>0.90511581940844865</v>
      </c>
      <c r="T9" s="280">
        <f>VLOOKUP($A9,'All LKO plans'!$A$3:$AG$29,T$25+1)</f>
        <v>0.2475</v>
      </c>
      <c r="U9" s="90">
        <f>VLOOKUP($A9,'All LKO plans'!$A$3:$AG$43,U$25+1)</f>
        <v>8.2500000000000004E-2</v>
      </c>
      <c r="V9" s="318">
        <f>VLOOKUP($A9,'All LKO plans'!$A$3:$AG$43,V$25+1)</f>
        <v>7.6498720823330535E-2</v>
      </c>
      <c r="W9" s="95">
        <f>VLOOKUP($A9,'All LKO plans'!$A$3:$AG$29,W$25+1)</f>
        <v>0</v>
      </c>
      <c r="X9" s="32">
        <f>VLOOKUP($A9,'All LKO plans'!$A$3:$AG$29,X$25+1)</f>
        <v>1</v>
      </c>
      <c r="Y9" s="32">
        <f>VLOOKUP($A9,'All LKO plans'!$A$3:$AG$29,Y$25+1)</f>
        <v>0</v>
      </c>
      <c r="Z9" s="32" t="str">
        <f>VLOOKUP($A9,'All LKO plans'!$A$3:$AG$29,Z$25+1)</f>
        <v>Daily / No charge</v>
      </c>
      <c r="AA9" s="98">
        <f>VLOOKUP($A9,'All LKO plans'!$A$3:$AG$29,AA$25+1)</f>
        <v>9.7199999999999995E-2</v>
      </c>
      <c r="AB9" s="104">
        <f>VLOOKUP($A9,'All LKO plans'!$A$3:$AG$29,AB$25+1)</f>
        <v>0.15029999999999999</v>
      </c>
      <c r="AC9" s="106">
        <f>VLOOKUP($A9,'All LKO plans'!$A$3:$AG$29,AC$25+1)</f>
        <v>4.7780648690163297E-2</v>
      </c>
      <c r="AD9" s="101">
        <f>VLOOKUP($A9,'All LKO plans'!$A$3:$AG$29,AD$25+1)</f>
        <v>5.1158194084486297E-3</v>
      </c>
      <c r="AE9" s="50">
        <f>VLOOKUP($A9,'All LKO plans'!$A$3:$AG$29,AE$25+1)</f>
        <v>5.1158194084486297E-3</v>
      </c>
      <c r="AF9" s="72">
        <f>VLOOKUP($A9,'All LKO plans'!$A$3:$AG$29,AF$25+1)</f>
        <v>0.82500000000000007</v>
      </c>
      <c r="AG9" s="35">
        <f>VLOOKUP($A9,'All LKO plans'!$A$3:$AG$29,AG$25+1)</f>
        <v>0.30511581940844867</v>
      </c>
    </row>
    <row r="10" spans="1:37" x14ac:dyDescent="0.35">
      <c r="A10" s="25">
        <v>16</v>
      </c>
      <c r="B10" s="179" t="s">
        <v>92</v>
      </c>
      <c r="C10" s="167" t="s">
        <v>74</v>
      </c>
      <c r="D10" s="167" t="s">
        <v>93</v>
      </c>
      <c r="E10" s="168" t="s">
        <v>44</v>
      </c>
      <c r="F10" s="313">
        <f>VLOOKUP($A10,'All LKO plans'!$A$3:$AG$29,F$25+1)</f>
        <v>43707</v>
      </c>
      <c r="G10" s="305">
        <f>VLOOKUP($A10,'All LKO plans'!$A$3:$AG$29,G$25+1)</f>
        <v>44803</v>
      </c>
      <c r="H10" s="40">
        <f>VLOOKUP($A10,'All LKO plans'!$A$3:$AG$29,H$25+1)</f>
        <v>964.28</v>
      </c>
      <c r="I10" s="1">
        <f>VLOOKUP($A10,'All LKO plans'!$A$3:$AG$29,I$25+1)</f>
        <v>0.6</v>
      </c>
      <c r="J10" s="3">
        <f>VLOOKUP($A10,'All LKO plans'!$A$3:$AG$29,J$25+1)</f>
        <v>0.4</v>
      </c>
      <c r="K10" s="83">
        <f>VLOOKUP($A10,'All LKO plans'!$A$3:$AG$29,K$25+1)</f>
        <v>578.56799999999998</v>
      </c>
      <c r="L10" s="89">
        <f>VLOOKUP($A10,'All LKO plans'!$A$3:$AG$29,L$25+1)</f>
        <v>9.2499999999999999E-2</v>
      </c>
      <c r="M10" s="86">
        <f>VLOOKUP($A10,'All LKO plans'!$A$3:$AG$29,M$25+1)</f>
        <v>0.9</v>
      </c>
      <c r="N10" s="3">
        <f>VLOOKUP($A10,'All LKO plans'!$A$3:$AG$29,N$25+1)</f>
        <v>0.9</v>
      </c>
      <c r="O10" s="3">
        <f>VLOOKUP($A10,'All LKO plans'!$A$3:$AG$29,O$25+1)</f>
        <v>0.9</v>
      </c>
      <c r="P10" s="28">
        <f>VLOOKUP($A10,'All LKO plans'!$A$3:$AG$29,P$25+1)</f>
        <v>3</v>
      </c>
      <c r="Q10" s="5">
        <f>VLOOKUP($A10,'All LKO plans'!$A$3:$AG$29,Q$25+1)</f>
        <v>867.85199999999998</v>
      </c>
      <c r="R10" s="5">
        <f>VLOOKUP($A10,'All LKO plans'!$A$3:$AG$29,R$25+1)</f>
        <v>890.28</v>
      </c>
      <c r="S10" s="92">
        <f>VLOOKUP($A10,'All LKO plans'!$A$3:$AG$29,S$25+1)</f>
        <v>0.92325880449661923</v>
      </c>
      <c r="T10" s="280">
        <f>VLOOKUP($A10,'All LKO plans'!$A$3:$AG$29,T$25+1)</f>
        <v>0.27749999999999997</v>
      </c>
      <c r="U10" s="90">
        <f>VLOOKUP($A10,'All LKO plans'!$A$3:$AG$43,U$25+1)</f>
        <v>9.2499999999999985E-2</v>
      </c>
      <c r="V10" s="318">
        <f>VLOOKUP($A10,'All LKO plans'!$A$3:$AG$43,V$25+1)</f>
        <v>8.5059706342234032E-2</v>
      </c>
      <c r="W10" s="95">
        <f>VLOOKUP($A10,'All LKO plans'!$A$3:$AG$29,W$25+1)</f>
        <v>0</v>
      </c>
      <c r="X10" s="32">
        <f>VLOOKUP($A10,'All LKO plans'!$A$3:$AG$29,X$25+1)</f>
        <v>1</v>
      </c>
      <c r="Y10" s="32">
        <f>VLOOKUP($A10,'All LKO plans'!$A$3:$AG$29,Y$25+1)</f>
        <v>0</v>
      </c>
      <c r="Z10" s="32" t="str">
        <f>VLOOKUP($A10,'All LKO plans'!$A$3:$AG$29,Z$25+1)</f>
        <v>Daily / No charge</v>
      </c>
      <c r="AA10" s="98">
        <f>VLOOKUP($A10,'All LKO plans'!$A$3:$AG$29,AA$25+1)</f>
        <v>0.13009999999999999</v>
      </c>
      <c r="AB10" s="104">
        <f>VLOOKUP($A10,'All LKO plans'!$A$3:$AG$29,AB$25+1)</f>
        <v>0.14739999999999998</v>
      </c>
      <c r="AC10" s="106">
        <f>VLOOKUP($A10,'All LKO plans'!$A$3:$AG$29,AC$25+1)</f>
        <v>4.6899394248521631E-2</v>
      </c>
      <c r="AD10" s="101">
        <f>VLOOKUP($A10,'All LKO plans'!$A$3:$AG$29,AD$25+1)</f>
        <v>2.3258804496619212E-2</v>
      </c>
      <c r="AE10" s="50">
        <f>VLOOKUP($A10,'All LKO plans'!$A$3:$AG$29,AE$25+1)</f>
        <v>2.3258804496619212E-2</v>
      </c>
      <c r="AF10" s="72">
        <f>VLOOKUP($A10,'All LKO plans'!$A$3:$AG$29,AF$25+1)</f>
        <v>0.92499999999999982</v>
      </c>
      <c r="AG10" s="35">
        <f>VLOOKUP($A10,'All LKO plans'!$A$3:$AG$29,AG$25+1)</f>
        <v>0.32325880449661926</v>
      </c>
    </row>
    <row r="11" spans="1:37" x14ac:dyDescent="0.35">
      <c r="A11" s="25">
        <v>17</v>
      </c>
      <c r="B11" s="180" t="s">
        <v>94</v>
      </c>
      <c r="C11" s="167" t="s">
        <v>74</v>
      </c>
      <c r="D11" s="167" t="s">
        <v>93</v>
      </c>
      <c r="E11" s="168" t="s">
        <v>44</v>
      </c>
      <c r="F11" s="313">
        <f>VLOOKUP($A11,'All LKO plans'!$A$3:$AG$29,F$25+1)</f>
        <v>43889</v>
      </c>
      <c r="G11" s="305">
        <f>VLOOKUP($A11,'All LKO plans'!$A$3:$AG$29,G$25+1)</f>
        <v>44985</v>
      </c>
      <c r="H11" s="40">
        <f>VLOOKUP($A11,'All LKO plans'!$A$3:$AG$29,H$25+1)</f>
        <v>919.68</v>
      </c>
      <c r="I11" s="1">
        <f>VLOOKUP($A11,'All LKO plans'!$A$3:$AG$29,I$25+1)</f>
        <v>0.6</v>
      </c>
      <c r="J11" s="3">
        <f>VLOOKUP($A11,'All LKO plans'!$A$3:$AG$29,J$25+1)</f>
        <v>0.4</v>
      </c>
      <c r="K11" s="83">
        <f>VLOOKUP($A11,'All LKO plans'!$A$3:$AG$29,K$25+1)</f>
        <v>551.80799999999999</v>
      </c>
      <c r="L11" s="89">
        <f>VLOOKUP($A11,'All LKO plans'!$A$3:$AG$29,L$25+1)</f>
        <v>8.1000000000000003E-2</v>
      </c>
      <c r="M11" s="86">
        <f>VLOOKUP($A11,'All LKO plans'!$A$3:$AG$29,M$25+1)</f>
        <v>0.9</v>
      </c>
      <c r="N11" s="3">
        <f>VLOOKUP($A11,'All LKO plans'!$A$3:$AG$29,N$25+1)</f>
        <v>0.9</v>
      </c>
      <c r="O11" s="3">
        <f>VLOOKUP($A11,'All LKO plans'!$A$3:$AG$29,O$25+1)</f>
        <v>0.9</v>
      </c>
      <c r="P11" s="28">
        <f>VLOOKUP($A11,'All LKO plans'!$A$3:$AG$29,P$25+1)</f>
        <v>3</v>
      </c>
      <c r="Q11" s="5">
        <f>VLOOKUP($A11,'All LKO plans'!$A$3:$AG$29,Q$25+1)</f>
        <v>827.71199999999999</v>
      </c>
      <c r="R11" s="5">
        <f>VLOOKUP($A11,'All LKO plans'!$A$3:$AG$29,R$25+1)</f>
        <v>957.93</v>
      </c>
      <c r="S11" s="92">
        <f>VLOOKUP($A11,'All LKO plans'!$A$3:$AG$29,S$25+1)</f>
        <v>1.0415905532359082</v>
      </c>
      <c r="T11" s="280">
        <f>VLOOKUP($A11,'All LKO plans'!$A$3:$AG$29,T$25+1)</f>
        <v>0.24299999999999999</v>
      </c>
      <c r="U11" s="90">
        <f>VLOOKUP($A11,'All LKO plans'!$A$3:$AG$43,U$25+1)</f>
        <v>8.1000000000000003E-2</v>
      </c>
      <c r="V11" s="318">
        <f>VLOOKUP($A11,'All LKO plans'!$A$3:$AG$43,V$25+1)</f>
        <v>7.5202774079908163E-2</v>
      </c>
      <c r="W11" s="95">
        <f>VLOOKUP($A11,'All LKO plans'!$A$3:$AG$29,W$25+1)</f>
        <v>0</v>
      </c>
      <c r="X11" s="32">
        <f>VLOOKUP($A11,'All LKO plans'!$A$3:$AG$29,X$25+1)</f>
        <v>1</v>
      </c>
      <c r="Y11" s="32">
        <f>VLOOKUP($A11,'All LKO plans'!$A$3:$AG$29,Y$25+1)</f>
        <v>0</v>
      </c>
      <c r="Z11" s="32" t="str">
        <f>VLOOKUP($A11,'All LKO plans'!$A$3:$AG$29,Z$25+1)</f>
        <v>Daily / No charge</v>
      </c>
      <c r="AA11" s="98">
        <f>VLOOKUP($A11,'All LKO plans'!$A$3:$AG$29,AA$25+1)</f>
        <v>0.32919999999999999</v>
      </c>
      <c r="AB11" s="104">
        <f>VLOOKUP($A11,'All LKO plans'!$A$3:$AG$29,AB$25+1)</f>
        <v>-8.6199999999999999E-2</v>
      </c>
      <c r="AC11" s="106">
        <f>VLOOKUP($A11,'All LKO plans'!$A$3:$AG$29,AC$25+1)</f>
        <v>-2.9600901111752287E-2</v>
      </c>
      <c r="AD11" s="101">
        <f>VLOOKUP($A11,'All LKO plans'!$A$3:$AG$29,AD$25+1)</f>
        <v>0.14159055323590819</v>
      </c>
      <c r="AE11" s="50">
        <f>VLOOKUP($A11,'All LKO plans'!$A$3:$AG$29,AE$25+1)</f>
        <v>0.14159055323590819</v>
      </c>
      <c r="AF11" s="72">
        <f>VLOOKUP($A11,'All LKO plans'!$A$3:$AG$29,AF$25+1)</f>
        <v>0.81</v>
      </c>
      <c r="AG11" s="35">
        <f>VLOOKUP($A11,'All LKO plans'!$A$3:$AG$29,AG$25+1)</f>
        <v>0.44159055323590823</v>
      </c>
    </row>
    <row r="12" spans="1:37" x14ac:dyDescent="0.35">
      <c r="A12" s="25">
        <v>21</v>
      </c>
      <c r="B12" s="174" t="s">
        <v>98</v>
      </c>
      <c r="C12" s="167" t="s">
        <v>74</v>
      </c>
      <c r="D12" s="167" t="s">
        <v>93</v>
      </c>
      <c r="E12" s="167" t="s">
        <v>44</v>
      </c>
      <c r="F12" s="302">
        <f>VLOOKUP($A12,'All LKO plans'!$A$3:$AG$29,F$25+1)</f>
        <v>43938</v>
      </c>
      <c r="G12" s="305">
        <f>VLOOKUP($A12,'All LKO plans'!$A$3:$AG$29,G$25+1)</f>
        <v>45033</v>
      </c>
      <c r="H12" s="40">
        <f>VLOOKUP($A12,'All LKO plans'!$A$3:$AG$29,H$25+1)</f>
        <v>776.07</v>
      </c>
      <c r="I12" s="1">
        <f>VLOOKUP($A12,'All LKO plans'!$A$3:$AG$29,I$25+1)</f>
        <v>0.6</v>
      </c>
      <c r="J12" s="3">
        <f>VLOOKUP($A12,'All LKO plans'!$A$3:$AG$29,J$25+1)</f>
        <v>0.4</v>
      </c>
      <c r="K12" s="83">
        <f>VLOOKUP($A12,'All LKO plans'!$A$3:$AG$29,K$25+1)</f>
        <v>465.642</v>
      </c>
      <c r="L12" s="89">
        <f>VLOOKUP($A12,'All LKO plans'!$A$3:$AG$29,L$25+1)</f>
        <v>8.2000000000000003E-2</v>
      </c>
      <c r="M12" s="86">
        <f>VLOOKUP($A12,'All LKO plans'!$A$3:$AG$29,M$25+1)</f>
        <v>0.9</v>
      </c>
      <c r="N12" s="3">
        <f>VLOOKUP($A12,'All LKO plans'!$A$3:$AG$29,N$25+1)</f>
        <v>0.9</v>
      </c>
      <c r="O12" s="3">
        <f>VLOOKUP($A12,'All LKO plans'!$A$3:$AG$29,O$25+1)</f>
        <v>0.9</v>
      </c>
      <c r="P12" s="28">
        <f>VLOOKUP($A12,'All LKO plans'!$A$3:$AG$29,P$25+1)</f>
        <v>3</v>
      </c>
      <c r="Q12" s="5">
        <f>VLOOKUP($A12,'All LKO plans'!$A$3:$AG$29,Q$25+1)</f>
        <v>698.46300000000008</v>
      </c>
      <c r="R12" s="5">
        <f>VLOOKUP($A12,'All LKO plans'!$A$3:$AG$29,R$25+1)</f>
        <v>952.22</v>
      </c>
      <c r="S12" s="92">
        <f>VLOOKUP($A12,'All LKO plans'!$A$3:$AG$29,S$25+1)</f>
        <v>1.2269769479557255</v>
      </c>
      <c r="T12" s="280">
        <f>VLOOKUP($A12,'All LKO plans'!$A$3:$AG$29,T$25+1)</f>
        <v>0.246</v>
      </c>
      <c r="U12" s="90">
        <f>VLOOKUP($A12,'All LKO plans'!$A$3:$AG$43,U$25+1)</f>
        <v>8.2000000000000003E-2</v>
      </c>
      <c r="V12" s="318">
        <f>VLOOKUP($A12,'All LKO plans'!$A$3:$AG$43,V$25+1)</f>
        <v>7.6067085363737075E-2</v>
      </c>
      <c r="W12" s="96">
        <f>VLOOKUP($A12,'All LKO plans'!$A$3:$AG$29,W$25+1)</f>
        <v>0</v>
      </c>
      <c r="X12" s="33">
        <f>VLOOKUP($A12,'All LKO plans'!$A$3:$AG$29,X$25+1)</f>
        <v>1</v>
      </c>
      <c r="Y12" s="33">
        <f>VLOOKUP($A12,'All LKO plans'!$A$3:$AG$29,Y$25+1)</f>
        <v>0</v>
      </c>
      <c r="Z12" s="33" t="str">
        <f>VLOOKUP($A12,'All LKO plans'!$A$3:$AG$29,Z$25+1)</f>
        <v>Daily / No charge</v>
      </c>
      <c r="AA12" s="98">
        <f>VLOOKUP($A12,'All LKO plans'!$A$3:$AG$29,AA$25+1)</f>
        <v>0.5111</v>
      </c>
      <c r="AB12" s="104">
        <f>VLOOKUP($A12,'All LKO plans'!$A$3:$AG$29,AB$25+1)</f>
        <v>-0.2651</v>
      </c>
      <c r="AC12" s="106">
        <f>VLOOKUP($A12,'All LKO plans'!$A$3:$AG$29,AC$25+1)</f>
        <v>-9.7578537283439903E-2</v>
      </c>
      <c r="AD12" s="101">
        <f>VLOOKUP($A12,'All LKO plans'!$A$3:$AG$29,AD$25+1)</f>
        <v>0.32697694795572552</v>
      </c>
      <c r="AE12" s="50">
        <f>VLOOKUP($A12,'All LKO plans'!$A$3:$AG$29,AE$25+1)</f>
        <v>0.32697694795572552</v>
      </c>
      <c r="AF12" s="72">
        <f>VLOOKUP($A12,'All LKO plans'!$A$3:$AG$29,AF$25+1)</f>
        <v>0.82000000000000006</v>
      </c>
      <c r="AG12" s="35">
        <f>VLOOKUP($A12,'All LKO plans'!$A$3:$AG$29,AG$25+1)</f>
        <v>0.62697694795572556</v>
      </c>
    </row>
    <row r="13" spans="1:37" x14ac:dyDescent="0.35">
      <c r="A13" s="25">
        <v>36</v>
      </c>
      <c r="B13" s="175" t="s">
        <v>116</v>
      </c>
      <c r="C13" s="167" t="s">
        <v>74</v>
      </c>
      <c r="D13" s="167" t="s">
        <v>93</v>
      </c>
      <c r="E13" s="167" t="s">
        <v>44</v>
      </c>
      <c r="F13" s="302">
        <v>43756</v>
      </c>
      <c r="G13" s="305">
        <f>EDATE(F13,48)</f>
        <v>45217</v>
      </c>
      <c r="H13" s="40">
        <f>VLOOKUP($A13,'All LKO plans'!$A$3:$AG$43,H$25+1)</f>
        <v>982.58</v>
      </c>
      <c r="I13" s="1">
        <f>VLOOKUP($A13,'All LKO plans'!$A$3:$AG$43,I$25+1)</f>
        <v>0.6</v>
      </c>
      <c r="J13" s="3">
        <f>VLOOKUP($A13,'All LKO plans'!$A$3:$AG$43,J$25+1)</f>
        <v>0.4</v>
      </c>
      <c r="K13" s="83">
        <f>VLOOKUP($A13,'All LKO plans'!$A$3:$AG$43,K$25+1)</f>
        <v>589.548</v>
      </c>
      <c r="L13" s="89">
        <f>VLOOKUP($A13,'All LKO plans'!$A$3:$AG$43,L$25+1)</f>
        <v>0.11600000000000001</v>
      </c>
      <c r="M13" s="86">
        <f>VLOOKUP($A13,'All LKO plans'!$A$3:$AG$43,M$25+1)</f>
        <v>0.9</v>
      </c>
      <c r="N13" s="3">
        <f>VLOOKUP($A13,'All LKO plans'!$A$3:$AG$43,N$25+1)</f>
        <v>0.9</v>
      </c>
      <c r="O13" s="3">
        <f>VLOOKUP($A13,'All LKO plans'!$A$3:$AG$43,O$25+1)</f>
        <v>0.9</v>
      </c>
      <c r="P13" s="28">
        <f>VLOOKUP($A13,'All LKO plans'!$A$3:$AG$43,P$25+1)</f>
        <v>4</v>
      </c>
      <c r="Q13" s="5">
        <f>VLOOKUP($A13,'All LKO plans'!$A$3:$AG$43,Q$25+1)</f>
        <v>884.322</v>
      </c>
      <c r="R13" s="5">
        <f>VLOOKUP($A13,'All LKO plans'!$A$3:$AG$43,R$25+1)</f>
        <v>888.46</v>
      </c>
      <c r="S13" s="92">
        <f>VLOOKUP($A13,'All LKO plans'!$A$3:$AG$43,S$25+1)</f>
        <v>0.90421136192472873</v>
      </c>
      <c r="T13" s="280">
        <f>VLOOKUP($A13,'All LKO plans'!$A$3:$AG$43,T$25+1)</f>
        <v>0.46400000000000002</v>
      </c>
      <c r="U13" s="90">
        <f>VLOOKUP($A13,'All LKO plans'!$A$3:$AG$43,U$25+1)</f>
        <v>0.11600000000000001</v>
      </c>
      <c r="V13" s="318">
        <f>VLOOKUP($A13,'All LKO plans'!$A$3:$AG$43,V$25+1)</f>
        <v>9.9981216648872495E-2</v>
      </c>
      <c r="W13" s="96">
        <f>VLOOKUP($A13,'All LKO plans'!$A$3:$AG$43,W$25+1)</f>
        <v>0</v>
      </c>
      <c r="X13" s="33">
        <f>VLOOKUP($A13,'All LKO plans'!$A$3:$AG$43,X$25+1)</f>
        <v>1</v>
      </c>
      <c r="Y13" s="33">
        <f>VLOOKUP($A13,'All LKO plans'!$A$3:$AG$43,Y$25+1)</f>
        <v>0</v>
      </c>
      <c r="Z13" s="33" t="str">
        <f>VLOOKUP($A13,'All LKO plans'!$A$3:$AG$43,Z$25+1)</f>
        <v>Daily / No charge</v>
      </c>
      <c r="AA13" s="98">
        <f>VLOOKUP($A13,'All LKO plans'!$A$3:$AG$43,AA$25+1)</f>
        <v>0.222</v>
      </c>
      <c r="AB13" s="104">
        <f>VLOOKUP($A13,'All LKO plans'!$A$3:$AG$43,AB$25+1)</f>
        <v>0.24200000000000002</v>
      </c>
      <c r="AC13" s="106">
        <f>VLOOKUP($A13,'All LKO plans'!$A$3:$AG$43,AC$25+1)</f>
        <v>5.5675393887914204E-2</v>
      </c>
      <c r="AD13" s="101">
        <f>VLOOKUP($A13,'All LKO plans'!$A$3:$AG$43,AD$25+1)</f>
        <v>4.2113619247287071E-3</v>
      </c>
      <c r="AE13" s="50">
        <f>VLOOKUP($A13,'All LKO plans'!$A$3:$AG$43,AE$25+1)</f>
        <v>4.2113619247287071E-3</v>
      </c>
      <c r="AF13" s="72">
        <f>VLOOKUP($A13,'All LKO plans'!$A$3:$AG$43,AF$25+1)</f>
        <v>1.1600000000000001</v>
      </c>
      <c r="AG13" s="35">
        <f>VLOOKUP($A13,'All LKO plans'!$A$3:$AG$43,AG$25+1)</f>
        <v>0.30421136192472875</v>
      </c>
    </row>
    <row r="14" spans="1:37" x14ac:dyDescent="0.35">
      <c r="A14" s="25">
        <v>37</v>
      </c>
      <c r="B14" s="175" t="s">
        <v>117</v>
      </c>
      <c r="C14" s="167" t="s">
        <v>74</v>
      </c>
      <c r="D14" s="167" t="s">
        <v>93</v>
      </c>
      <c r="E14" s="167" t="s">
        <v>44</v>
      </c>
      <c r="F14" s="302">
        <v>43756</v>
      </c>
      <c r="G14" s="305">
        <f>EDATE(F14,48)</f>
        <v>45217</v>
      </c>
      <c r="H14" s="40">
        <f>VLOOKUP($A14,'All LKO plans'!$A$3:$AG$43,H$25+1)</f>
        <v>982.58</v>
      </c>
      <c r="I14" s="1">
        <f>VLOOKUP($A14,'All LKO plans'!$A$3:$AG$43,I$25+1)</f>
        <v>0.6</v>
      </c>
      <c r="J14" s="3">
        <f>VLOOKUP($A14,'All LKO plans'!$A$3:$AG$43,J$25+1)</f>
        <v>0.4</v>
      </c>
      <c r="K14" s="83">
        <f>VLOOKUP($A14,'All LKO plans'!$A$3:$AG$43,K$25+1)</f>
        <v>589.548</v>
      </c>
      <c r="L14" s="89">
        <f>VLOOKUP($A14,'All LKO plans'!$A$3:$AG$43,L$25+1)</f>
        <v>0.10100000000000001</v>
      </c>
      <c r="M14" s="86">
        <f>VLOOKUP($A14,'All LKO plans'!$A$3:$AG$43,M$25+1)</f>
        <v>0.9</v>
      </c>
      <c r="N14" s="3">
        <f>VLOOKUP($A14,'All LKO plans'!$A$3:$AG$43,N$25+1)</f>
        <v>0.9</v>
      </c>
      <c r="O14" s="3">
        <f>VLOOKUP($A14,'All LKO plans'!$A$3:$AG$43,O$25+1)</f>
        <v>0.9</v>
      </c>
      <c r="P14" s="28">
        <f>VLOOKUP($A14,'All LKO plans'!$A$3:$AG$43,P$25+1)</f>
        <v>4</v>
      </c>
      <c r="Q14" s="5">
        <f>VLOOKUP($A14,'All LKO plans'!$A$3:$AG$43,Q$25+1)</f>
        <v>884.322</v>
      </c>
      <c r="R14" s="5">
        <f>VLOOKUP($A14,'All LKO plans'!$A$3:$AG$43,R$25+1)</f>
        <v>888.46</v>
      </c>
      <c r="S14" s="92">
        <f>VLOOKUP($A14,'All LKO plans'!$A$3:$AG$43,S$25+1)</f>
        <v>0.90421136192472873</v>
      </c>
      <c r="T14" s="280">
        <f>VLOOKUP($A14,'All LKO plans'!$A$3:$AG$43,T$25+1)</f>
        <v>0.40400000000000003</v>
      </c>
      <c r="U14" s="90">
        <f>VLOOKUP($A14,'All LKO plans'!$A$3:$AG$43,U$25+1)</f>
        <v>0.10100000000000001</v>
      </c>
      <c r="V14" s="318">
        <f>VLOOKUP($A14,'All LKO plans'!$A$3:$AG$43,V$25+1)</f>
        <v>8.8533444358918079E-2</v>
      </c>
      <c r="W14" s="96">
        <f>VLOOKUP($A14,'All LKO plans'!$A$3:$AG$43,W$25+1)</f>
        <v>0</v>
      </c>
      <c r="X14" s="33">
        <f>VLOOKUP($A14,'All LKO plans'!$A$3:$AG$43,X$25+1)</f>
        <v>1</v>
      </c>
      <c r="Y14" s="33">
        <f>VLOOKUP($A14,'All LKO plans'!$A$3:$AG$43,Y$25+1)</f>
        <v>0</v>
      </c>
      <c r="Z14" s="32" t="str">
        <f>VLOOKUP($A14,'All LKO plans'!$A$3:$AG$43,Z$25+1)</f>
        <v>Daily / No charge</v>
      </c>
      <c r="AA14" s="98">
        <f>VLOOKUP($A14,'All LKO plans'!$A$3:$AG$43,AA$25+1)</f>
        <v>0.222</v>
      </c>
      <c r="AB14" s="104">
        <f>VLOOKUP($A14,'All LKO plans'!$A$3:$AG$43,AB$25+1)</f>
        <v>0.18200000000000002</v>
      </c>
      <c r="AC14" s="106">
        <f>VLOOKUP($A14,'All LKO plans'!$A$3:$AG$43,AC$25+1)</f>
        <v>4.2687984966812031E-2</v>
      </c>
      <c r="AD14" s="101">
        <f>VLOOKUP($A14,'All LKO plans'!$A$3:$AG$43,AD$25+1)</f>
        <v>4.2113619247287071E-3</v>
      </c>
      <c r="AE14" s="50">
        <f>VLOOKUP($A14,'All LKO plans'!$A$3:$AG$43,AE$25+1)</f>
        <v>4.2113619247287071E-3</v>
      </c>
      <c r="AF14" s="72">
        <f>VLOOKUP($A14,'All LKO plans'!$A$3:$AG$43,AF$25+1)</f>
        <v>1.01</v>
      </c>
      <c r="AG14" s="35">
        <f>VLOOKUP($A14,'All LKO plans'!$A$3:$AG$43,AG$25+1)</f>
        <v>0.30421136192472875</v>
      </c>
    </row>
    <row r="15" spans="1:37" ht="15" thickBot="1" x14ac:dyDescent="0.4">
      <c r="A15" s="123">
        <v>38</v>
      </c>
      <c r="B15" s="175" t="s">
        <v>118</v>
      </c>
      <c r="C15" s="167" t="s">
        <v>74</v>
      </c>
      <c r="D15" s="167" t="s">
        <v>93</v>
      </c>
      <c r="E15" s="167" t="s">
        <v>44</v>
      </c>
      <c r="F15" s="302">
        <v>43805</v>
      </c>
      <c r="G15" s="316">
        <f>EDATE(F15,48)</f>
        <v>45266</v>
      </c>
      <c r="H15" s="281">
        <v>1007.21</v>
      </c>
      <c r="I15" s="1">
        <v>0.6</v>
      </c>
      <c r="J15" s="1">
        <f t="shared" ref="J15" si="0">1-I15</f>
        <v>0.4</v>
      </c>
      <c r="K15" s="84">
        <f t="shared" ref="K15" si="1">H15*I15</f>
        <v>604.32600000000002</v>
      </c>
      <c r="L15" s="90">
        <v>0.1125</v>
      </c>
      <c r="M15" s="87">
        <v>0.9</v>
      </c>
      <c r="N15" s="1">
        <v>0.9</v>
      </c>
      <c r="O15" s="1">
        <v>0.9</v>
      </c>
      <c r="P15" s="29">
        <v>4</v>
      </c>
      <c r="Q15" s="5">
        <f>M15*H15</f>
        <v>906.48900000000003</v>
      </c>
      <c r="R15" s="5">
        <v>935.18</v>
      </c>
      <c r="S15" s="93">
        <f t="shared" ref="S15" si="2">R15/H15</f>
        <v>0.92848561868925039</v>
      </c>
      <c r="T15" s="280">
        <f>L15*P15</f>
        <v>0.45</v>
      </c>
      <c r="U15" s="319">
        <f>T15/P15</f>
        <v>0.1125</v>
      </c>
      <c r="V15" s="318">
        <f>(((1+(U15*P15))/1)^(1/P15)-1)</f>
        <v>9.7341996771849404E-2</v>
      </c>
      <c r="W15" s="95">
        <v>0</v>
      </c>
      <c r="X15" s="32">
        <f t="shared" ref="X15" si="3">IF(V15&gt;0,1,R15/H15)</f>
        <v>1</v>
      </c>
      <c r="Y15" s="32">
        <v>0</v>
      </c>
      <c r="Z15" s="54" t="s">
        <v>76</v>
      </c>
      <c r="AA15" s="99">
        <v>0.1956</v>
      </c>
      <c r="AB15" s="104">
        <f>T15-AA15</f>
        <v>0.25440000000000002</v>
      </c>
      <c r="AC15" s="320">
        <f>(((1+AB15)/1)^(1/P15)-1)</f>
        <v>5.8300524425836331E-2</v>
      </c>
      <c r="AD15" s="102">
        <f t="shared" ref="AD15" si="4">S15-M15</f>
        <v>2.8485618689250369E-2</v>
      </c>
      <c r="AE15" s="51">
        <f>S15-O15</f>
        <v>2.8485618689250369E-2</v>
      </c>
      <c r="AF15" s="51">
        <f t="shared" ref="AF15" si="5">T15/P15*10</f>
        <v>1.125</v>
      </c>
      <c r="AG15" s="35">
        <f>S15-I15</f>
        <v>0.32848561868925041</v>
      </c>
      <c r="AI15" s="58"/>
      <c r="AK15" s="57"/>
    </row>
    <row r="16" spans="1:37" ht="15" hidden="1" thickBot="1" x14ac:dyDescent="0.4">
      <c r="A16" s="123"/>
      <c r="B16" s="124"/>
      <c r="C16" s="166"/>
      <c r="D16" s="166"/>
      <c r="E16" s="166"/>
      <c r="F16" s="137"/>
      <c r="G16" s="135"/>
      <c r="H16" s="125"/>
      <c r="I16" s="126"/>
      <c r="J16" s="126"/>
      <c r="K16" s="19"/>
      <c r="L16" s="127"/>
      <c r="M16" s="126"/>
      <c r="N16" s="126"/>
      <c r="O16" s="126"/>
      <c r="P16" s="128"/>
      <c r="Q16" s="125"/>
      <c r="R16" s="125"/>
      <c r="S16" s="129"/>
      <c r="T16" s="108"/>
      <c r="U16" s="138"/>
      <c r="V16" s="139"/>
      <c r="W16" s="130"/>
      <c r="X16" s="130"/>
      <c r="Y16" s="130"/>
      <c r="Z16" s="130"/>
      <c r="AA16" s="131"/>
      <c r="AB16" s="132"/>
      <c r="AC16" s="132"/>
      <c r="AD16" s="133"/>
      <c r="AE16" s="133"/>
      <c r="AF16" s="136"/>
      <c r="AG16" s="134"/>
    </row>
    <row r="17" spans="1:33" ht="15" thickBot="1" x14ac:dyDescent="0.4">
      <c r="A17" s="20"/>
      <c r="B17" s="7" t="s">
        <v>120</v>
      </c>
      <c r="C17" s="7"/>
      <c r="D17" s="7"/>
      <c r="E17" s="7"/>
      <c r="F17" s="7"/>
      <c r="G17" s="13"/>
      <c r="H17" s="11"/>
      <c r="I17" s="2">
        <f>AVERAGE(I3:I16)</f>
        <v>0.59999999999999987</v>
      </c>
      <c r="J17" s="2">
        <f>AVERAGE(J3:J16)</f>
        <v>0.4</v>
      </c>
      <c r="K17" s="76"/>
      <c r="L17" s="4">
        <f>AVERAGE(L3:L16)</f>
        <v>8.861538461538461E-2</v>
      </c>
      <c r="M17" s="6">
        <f>AVERAGE(M3:M16)</f>
        <v>0.90000000000000024</v>
      </c>
      <c r="N17" s="62"/>
      <c r="O17" s="62">
        <f>AVERAGE(O3:O16)</f>
        <v>0.90000000000000024</v>
      </c>
      <c r="P17" s="309">
        <f>AVERAGE(P3:P16)</f>
        <v>3.2307692307692308</v>
      </c>
      <c r="Q17" s="11"/>
      <c r="R17" s="11">
        <f t="shared" ref="R17:Y17" si="6">AVERAGE(R3:R16)</f>
        <v>972.34538461538443</v>
      </c>
      <c r="S17" s="55">
        <f t="shared" si="6"/>
        <v>1.0142991136582831</v>
      </c>
      <c r="T17" s="64">
        <f t="shared" si="6"/>
        <v>0.29119230769230769</v>
      </c>
      <c r="U17" s="65">
        <f>AVERAGE(U3:U16)</f>
        <v>8.861538461538461E-2</v>
      </c>
      <c r="V17" s="64">
        <f>AVERAGE(V3:V16)</f>
        <v>8.0635406328637652E-2</v>
      </c>
      <c r="W17" s="148">
        <f t="shared" si="6"/>
        <v>0</v>
      </c>
      <c r="X17" s="64">
        <f t="shared" si="6"/>
        <v>1</v>
      </c>
      <c r="Y17" s="64">
        <f t="shared" si="6"/>
        <v>0</v>
      </c>
      <c r="Z17" s="65"/>
      <c r="AA17" s="6">
        <f t="shared" ref="AA17:AF17" si="7">AVERAGE(AA3:AA16)</f>
        <v>0.18919230769230772</v>
      </c>
      <c r="AB17" s="6">
        <f t="shared" si="7"/>
        <v>0.10199999999999999</v>
      </c>
      <c r="AC17" s="77">
        <f>AVERAGE(AC3:AC16)</f>
        <v>2.6709391307960274E-2</v>
      </c>
      <c r="AD17" s="46">
        <f>AVERAGE(AD3:AD16)</f>
        <v>0.11429911365828302</v>
      </c>
      <c r="AE17" s="78">
        <f t="shared" si="7"/>
        <v>0.11429911365828302</v>
      </c>
      <c r="AF17" s="64">
        <f t="shared" si="7"/>
        <v>0.88615384615384629</v>
      </c>
      <c r="AG17" s="46">
        <f>AVERAGE(AG3:AG16)</f>
        <v>0.41429911365828315</v>
      </c>
    </row>
    <row r="18" spans="1:33" ht="15" thickBot="1" x14ac:dyDescent="0.4">
      <c r="T18" s="348" t="s">
        <v>121</v>
      </c>
      <c r="U18" s="339"/>
      <c r="V18" s="339"/>
      <c r="W18" s="339"/>
      <c r="X18" s="339"/>
      <c r="Y18" s="339"/>
      <c r="Z18" s="339"/>
      <c r="AA18" s="349"/>
      <c r="AB18" s="6">
        <f>MAX(AB3:AB16)</f>
        <v>0.25440000000000002</v>
      </c>
      <c r="AC18" s="46">
        <f>MAX(AC3:AC16)</f>
        <v>5.9995253331064369E-2</v>
      </c>
    </row>
    <row r="19" spans="1:33" ht="15" thickBot="1" x14ac:dyDescent="0.4">
      <c r="T19" s="348" t="s">
        <v>123</v>
      </c>
      <c r="U19" s="339"/>
      <c r="V19" s="339"/>
      <c r="W19" s="339"/>
      <c r="X19" s="339"/>
      <c r="Y19" s="339"/>
      <c r="Z19" s="339"/>
      <c r="AA19" s="349"/>
      <c r="AB19" s="47">
        <f>_xlfn.MINIFS(AB3:AB16,AB3:AB16,"&gt;0")</f>
        <v>2.3199999999999998E-2</v>
      </c>
      <c r="AC19" s="47">
        <f>_xlfn.MINIFS(AC3:AC16,AC3:AC16,"&gt;0")</f>
        <v>7.674287979061889E-3</v>
      </c>
    </row>
    <row r="20" spans="1:33" ht="15" thickBot="1" x14ac:dyDescent="0.4">
      <c r="T20" s="341" t="s">
        <v>124</v>
      </c>
      <c r="U20" s="342"/>
      <c r="V20" s="342"/>
      <c r="W20" s="342"/>
      <c r="X20" s="342"/>
      <c r="Y20" s="342"/>
      <c r="Z20" s="342"/>
      <c r="AA20" s="342"/>
      <c r="AB20" s="48">
        <f>AVERAGEIF(AB3:AB16,"&gt;0",AB3:AB16)</f>
        <v>0.15248181818181816</v>
      </c>
      <c r="AC20" s="48">
        <f>AVERAGEIF(AC3:AC16,"&gt;0",AC3:AC16)</f>
        <v>4.3127411399879613E-2</v>
      </c>
    </row>
    <row r="21" spans="1:33" x14ac:dyDescent="0.35">
      <c r="T21" s="350" t="s">
        <v>125</v>
      </c>
      <c r="U21" s="350"/>
      <c r="V21" s="350"/>
      <c r="W21" s="350"/>
      <c r="X21" s="350"/>
      <c r="Y21" s="350"/>
      <c r="Z21" s="350"/>
      <c r="AA21" s="350"/>
    </row>
    <row r="25" spans="1:33" hidden="1" x14ac:dyDescent="0.35">
      <c r="B25">
        <f>MATCH(B2,'All LKO plans'!$B$2:$AG$2,0)</f>
        <v>1</v>
      </c>
      <c r="F25">
        <f>MATCH(F2,'All LKO plans'!$B$2:$AG$2,0)</f>
        <v>5</v>
      </c>
      <c r="G25">
        <f>MATCH(G2,'All LKO plans'!$B$2:$AG$2,0)</f>
        <v>6</v>
      </c>
      <c r="H25">
        <f>MATCH(H2,'All LKO plans'!$B$2:$AG$2,0)</f>
        <v>7</v>
      </c>
      <c r="I25">
        <f>MATCH(I2,'All LKO plans'!$B$2:$AG$2,0)</f>
        <v>8</v>
      </c>
      <c r="J25">
        <f>MATCH(J2,'All LKO plans'!$B$2:$AG$2,0)</f>
        <v>9</v>
      </c>
      <c r="K25">
        <f>MATCH(K2,'All LKO plans'!$B$2:$AG$2,0)</f>
        <v>10</v>
      </c>
      <c r="L25">
        <f>MATCH(L2,'All LKO plans'!$B$2:$AG$2,0)</f>
        <v>11</v>
      </c>
      <c r="M25">
        <v>12</v>
      </c>
      <c r="N25">
        <f>MATCH(N2,'All LKO plans'!$B$2:$AG$2,0)</f>
        <v>13</v>
      </c>
      <c r="O25">
        <f>MATCH(O2,'All LKO plans'!$B$2:$AG$2,0)</f>
        <v>14</v>
      </c>
      <c r="P25">
        <f>MATCH(P2,'All LKO plans'!$B$2:$AG$2,0)</f>
        <v>15</v>
      </c>
      <c r="Q25">
        <f>MATCH(Q2,'All LKO plans'!$B$2:$AG$2,0)</f>
        <v>16</v>
      </c>
      <c r="R25">
        <f>MATCH(R2,'All LKO plans'!$B$2:$AG$2,0)</f>
        <v>17</v>
      </c>
      <c r="S25">
        <f>MATCH(S2,'All LKO plans'!$B$2:$AG$2,0)</f>
        <v>18</v>
      </c>
      <c r="T25">
        <f>MATCH(T2,'All LKO plans'!$B$2:$AG$2,0)</f>
        <v>19</v>
      </c>
      <c r="U25">
        <v>20</v>
      </c>
      <c r="V25">
        <v>21</v>
      </c>
      <c r="W25">
        <f>MATCH(W2,'All LKO plans'!$B$2:$AG$2,0)</f>
        <v>22</v>
      </c>
      <c r="X25">
        <f>MATCH(X2,'All LKO plans'!$B$2:$AG$2,0)</f>
        <v>23</v>
      </c>
      <c r="Y25">
        <f>MATCH(Y2,'All LKO plans'!$B$2:$AG$2,0)</f>
        <v>24</v>
      </c>
      <c r="Z25">
        <f>MATCH(Z2,'All LKO plans'!$B$2:$AG$2,0)</f>
        <v>25</v>
      </c>
      <c r="AA25">
        <f>MATCH(AA2,'All LKO plans'!$B$2:$AG$2,0)</f>
        <v>26</v>
      </c>
      <c r="AB25">
        <f>MATCH(AB2,'All LKO plans'!$B$2:$AG$2,0)</f>
        <v>27</v>
      </c>
      <c r="AC25">
        <f>MATCH(AC2,'All LKO plans'!$B$2:$AG$2,0)</f>
        <v>28</v>
      </c>
      <c r="AD25">
        <f>MATCH(AD2,'All LKO plans'!$B$2:$AG$2,0)</f>
        <v>29</v>
      </c>
      <c r="AE25">
        <f>MATCH(AE2,'All LKO plans'!$B$2:$AG$2,0)</f>
        <v>30</v>
      </c>
      <c r="AF25">
        <f>MATCH(AF2,'All LKO plans'!$B$2:$AG$2,0)</f>
        <v>31</v>
      </c>
      <c r="AG25">
        <f>MATCH(AG2,'All LKO plans'!$B$2:$AG$2,0)</f>
        <v>32</v>
      </c>
    </row>
  </sheetData>
  <autoFilter ref="A2:AG12" xr:uid="{84E5E9CA-69AD-4A34-9A0D-BABE94BD67BB}"/>
  <mergeCells count="5">
    <mergeCell ref="T18:AA18"/>
    <mergeCell ref="T19:AA19"/>
    <mergeCell ref="T20:AA20"/>
    <mergeCell ref="T21:AA21"/>
    <mergeCell ref="A1:AG1"/>
  </mergeCells>
  <conditionalFormatting sqref="AB3:AC16">
    <cfRule type="cellIs" dxfId="3" priority="1" operator="greaterThan">
      <formula>0</formula>
    </cfRule>
    <cfRule type="cellIs" dxfId="2" priority="2" operator="lessThan">
      <formula>0</formula>
    </cfRule>
  </conditionalFormatting>
  <hyperlinks>
    <hyperlink ref="C3" r:id="rId1" display="https://tempo-sp.com/vault/files/Tempo_LKO_SG_Brochure.pdf" xr:uid="{C93F413D-053A-4AF6-8163-779B5C2B7347}"/>
    <hyperlink ref="C4" r:id="rId2" display="https://tempo-sp.com/vault/files/Tempo_SG_LKO_Aug18_Brochure_FINAL.pdf" xr:uid="{D1B2E087-E70C-45A4-A56A-2990BBF43886}"/>
    <hyperlink ref="E3" r:id="rId3" display="https://tempo-sp.com/vault/files/Tempo_Issue-1_LKO1_Maturity-performance-and-comparison.pdf" xr:uid="{D6848253-A312-489E-ADD7-B7868E80B941}"/>
    <hyperlink ref="E4" r:id="rId4" display="https://tempo-sp.com/vault/files/Tempo_Issue-2_LKO1_Maturity-performance-and-comparison.pdf" xr:uid="{350322BB-9104-44E6-88AA-46D99B1F3BA3}"/>
    <hyperlink ref="C5" r:id="rId5" display="https://tempo-sp.com/vault/files/Tempo_LKO_Brochure_Oct18.pdf" xr:uid="{3E4814E4-0396-4124-B419-FC7AFEA825F7}"/>
    <hyperlink ref="E5" r:id="rId6" display="https://tempo-sp.com/vault/files/Tempo_Issue-3_LKO1_Maturity-performance-and-comparison.pdf" xr:uid="{37E616FB-D67C-4162-A6D6-C1E4701CAFE8}"/>
    <hyperlink ref="C6" r:id="rId7" display="https://tempo-sp.com/vault/files/Tempo_LKO_Brochure_Dec2018.pdf" xr:uid="{11F06020-15AE-41D2-88F9-4CE4F78038B7}"/>
    <hyperlink ref="E6" r:id="rId8" display="https://tempo-sp.com/vault/files/Tempo_Issue-4_LKO1_Maturity-performance-and-comparison.pdf" xr:uid="{97482279-E3EF-4981-B43E-28D518F9976E}"/>
    <hyperlink ref="C7" r:id="rId9" display="https://tempo-sp.com/vault/files/Tempo_LKO_Brochure_Feb19.pdf" xr:uid="{B20A049D-841B-4A23-B727-8B97C1244AE9}"/>
    <hyperlink ref="E7" r:id="rId10" display="https://tempo-sp.com/vault/files/Tempo_Issue-5_LKO1_Maturity-performance-and-comparison.pdf" xr:uid="{3F638DE0-09CD-4CEE-9A8D-98D88A0FC624}"/>
    <hyperlink ref="C8" r:id="rId11" display="https://tempo-sp.com/vault/files/Tempo_LKO_Brochure_Apr19-1.pdf" xr:uid="{CE598066-97DA-453D-9DEA-FD14AAFCDEF9}"/>
    <hyperlink ref="C9" r:id="rId12" display="https://tempo-sp.com/vault/files/Tempo_LKO_Brochure_June19-1.pdf" xr:uid="{5B39566A-C0B4-4D23-8519-AFC4F9E6070B}"/>
    <hyperlink ref="C10" r:id="rId13" display="https://tempo-sp.com/vault/files/Tempo_LKO_Brochure_Aug19.pdf" xr:uid="{76C452E7-276D-4AA4-9328-6866FA1E24F9}"/>
    <hyperlink ref="C11" r:id="rId14" display="https://tempo-sp.com/vault/files/Tempo_LKO_Brochure_Feb20-1.pdf" xr:uid="{A786B8E1-1EA7-4C2A-B67C-FCF38DB089D2}"/>
    <hyperlink ref="E8" r:id="rId15" display="https://tempo-sp.com/vault/files/Tempo_Issue-6_LKO1_Maturity-performance-and-comparison.pdf" xr:uid="{320E1538-9C28-44F7-B4A5-8A589D1E76F0}"/>
    <hyperlink ref="E9" r:id="rId16" display="https://tempo-sp.com/vault/files/Tempo_Issue-7_LKO1_Maturity-performance-and-comparison.pdf" xr:uid="{B69FD8C6-C828-4C4D-9B7D-489C1BC0A86E}"/>
    <hyperlink ref="E10" r:id="rId17" display="https://tempo-sp.com/vault/files/Tempo_Issue-8_LKO1_Maturity-performance-and-comparison.pdf" xr:uid="{83F385A7-9EDE-41EF-B6B3-33B90654D44B}"/>
    <hyperlink ref="D10" r:id="rId18" display="https://tempo-sp.com/vault/files/Tempo_LKO_Opt1_IfThen_aug19.pdf" xr:uid="{435D8163-A8FF-47CC-80DF-BAFD5D074005}"/>
    <hyperlink ref="E11" r:id="rId19" display="https://tempo-sp.com/vault/files/Tempo_Issue-11_LKO1_Maturity-performance-and-comparison.pdf" xr:uid="{C63097EC-2C33-49DF-AE85-3FE7AE09D5F9}"/>
    <hyperlink ref="D11" r:id="rId20" display="https://tempo-sp.com/vault/files/Tempo_LKO_IfThen_Opt1_Feb20.pdf" xr:uid="{CA31C7AE-F9AE-410C-A145-4AD188C26809}"/>
    <hyperlink ref="C12" r:id="rId21" display="https://tempo-sp.com/vault/files/Tempo_LKO_Brochure_Apr20.pdf" xr:uid="{399FF22B-8D7C-4857-9F70-76FC220B07F9}"/>
    <hyperlink ref="E12" r:id="rId22" display="https://tempo-sp.com/vault/files/Tempo_Issue-12_LKO2_Maturity-performance-and-comparison.pdf" xr:uid="{4ED2AF59-D047-47A5-A143-B53E00F07B80}"/>
    <hyperlink ref="D12" r:id="rId23" display="https://tempo-sp.com/vault/files/Tempo_LKO_IfThen_Opt2_Apr20.pdf" xr:uid="{AB4B8619-B398-4360-9009-2CF92A4AE255}"/>
    <hyperlink ref="C13" r:id="rId24" xr:uid="{70813402-8EE5-4FA4-82F0-EA202DE1CE22}"/>
    <hyperlink ref="C14" r:id="rId25" xr:uid="{60E634AA-031C-4581-B1E5-4F65E58BD444}"/>
    <hyperlink ref="D13" r:id="rId26" xr:uid="{656C426E-809E-4BA9-B09C-B00FB1483C43}"/>
    <hyperlink ref="D14" r:id="rId27" xr:uid="{DBFD20F3-4F2A-4D11-B001-0421305D6677}"/>
    <hyperlink ref="E13" r:id="rId28" xr:uid="{2803B60D-873A-43A3-86FD-D72BD6F70770}"/>
    <hyperlink ref="E14" r:id="rId29" xr:uid="{6569A2B3-1F16-4364-97D8-63330EE9B143}"/>
    <hyperlink ref="E15" r:id="rId30" xr:uid="{91F5E307-662C-41CA-96EA-9CF490A6D2FD}"/>
    <hyperlink ref="C15" r:id="rId31" xr:uid="{A20C2744-07F8-41A7-BEBE-F797DC74A485}"/>
    <hyperlink ref="D15" r:id="rId32" xr:uid="{77C48FF8-7A1C-4072-B46C-5EFEB9A83D6B}"/>
  </hyperlink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0EFB-736E-4408-B73D-12377E91A9FF}">
  <dimension ref="A1:C21"/>
  <sheetViews>
    <sheetView workbookViewId="0"/>
  </sheetViews>
  <sheetFormatPr defaultRowHeight="14.5" x14ac:dyDescent="0.35"/>
  <cols>
    <col min="1" max="1" width="136.453125" customWidth="1"/>
  </cols>
  <sheetData>
    <row r="1" spans="1:3" ht="15" thickBot="1" x14ac:dyDescent="0.4"/>
    <row r="2" spans="1:3" ht="15" thickBot="1" x14ac:dyDescent="0.4">
      <c r="A2" s="335" t="s">
        <v>151</v>
      </c>
      <c r="B2" s="336"/>
      <c r="C2" s="337"/>
    </row>
    <row r="3" spans="1:3" x14ac:dyDescent="0.35">
      <c r="A3" s="160" t="s">
        <v>152</v>
      </c>
      <c r="B3" s="270">
        <f>COUNTIF('All LKO plans'!O:O,"90%")</f>
        <v>13</v>
      </c>
      <c r="C3" s="155">
        <f>B3/COUNT('All LKO plans'!A3:A45)</f>
        <v>0.30952380952380953</v>
      </c>
    </row>
    <row r="4" spans="1:3" ht="15" thickBot="1" x14ac:dyDescent="0.4">
      <c r="A4" s="267" t="s">
        <v>153</v>
      </c>
      <c r="B4" s="268">
        <f>B3</f>
        <v>13</v>
      </c>
      <c r="C4" s="269">
        <v>1</v>
      </c>
    </row>
    <row r="5" spans="1:3" x14ac:dyDescent="0.35">
      <c r="A5" s="188" t="s">
        <v>135</v>
      </c>
      <c r="B5" s="189">
        <f>MAX('LKO &gt;90% of start level'!U3:U16)</f>
        <v>0.11600000000000001</v>
      </c>
      <c r="C5" s="190">
        <f>MAX('LKO &gt;90% of start level'!V3:V16)</f>
        <v>9.9981216648872495E-2</v>
      </c>
    </row>
    <row r="6" spans="1:3" x14ac:dyDescent="0.35">
      <c r="A6" s="191" t="s">
        <v>136</v>
      </c>
      <c r="B6" s="192">
        <f>MIN('LKO &gt;90% of start level'!U3:U16)</f>
        <v>7.2999999999999995E-2</v>
      </c>
      <c r="C6" s="193">
        <f>MIN('LKO &gt;90% of start level'!V3:V16)</f>
        <v>6.8237702331613859E-2</v>
      </c>
    </row>
    <row r="7" spans="1:3" ht="15" thickBot="1" x14ac:dyDescent="0.4">
      <c r="A7" s="198" t="s">
        <v>137</v>
      </c>
      <c r="B7" s="271">
        <f>AVERAGE('LKO &gt;90% of start level'!U3:U16)</f>
        <v>8.861538461538461E-2</v>
      </c>
      <c r="C7" s="272">
        <f>AVERAGE('LKO &gt;90% of start level'!V3:V16)</f>
        <v>8.0635406328637652E-2</v>
      </c>
    </row>
    <row r="8" spans="1:3" x14ac:dyDescent="0.35">
      <c r="A8" s="160" t="s">
        <v>154</v>
      </c>
      <c r="B8" s="270">
        <f>COUNTIF('LKO &gt;90% of start level'!AB3:AB16,"&gt;0")</f>
        <v>11</v>
      </c>
      <c r="C8" s="155">
        <f>B8/B3</f>
        <v>0.84615384615384615</v>
      </c>
    </row>
    <row r="9" spans="1:3" x14ac:dyDescent="0.35">
      <c r="A9" s="252" t="s">
        <v>139</v>
      </c>
      <c r="B9" s="244">
        <f>MAX('LKO &gt;90% of start level'!AB3:AB16)</f>
        <v>0.25440000000000002</v>
      </c>
      <c r="C9" s="238">
        <f>MAX('LKO &gt;90% of start level'!AC3:AC16)</f>
        <v>5.9995253331064369E-2</v>
      </c>
    </row>
    <row r="10" spans="1:3" x14ac:dyDescent="0.35">
      <c r="A10" s="252" t="s">
        <v>140</v>
      </c>
      <c r="B10" s="244">
        <f>_xlfn.MINIFS('LKO &gt;90% of start level'!AB3:AB16,'LKO &gt;90% of start level'!AB3:AB16,"&gt;0")</f>
        <v>2.3199999999999998E-2</v>
      </c>
      <c r="C10" s="238">
        <f>_xlfn.MINIFS('LKO &gt;90% of start level'!AC3:AC16,'LKO &gt;90% of start level'!AC3:AC16,"&gt;0")</f>
        <v>7.674287979061889E-3</v>
      </c>
    </row>
    <row r="11" spans="1:3" ht="15" thickBot="1" x14ac:dyDescent="0.4">
      <c r="A11" s="273" t="s">
        <v>141</v>
      </c>
      <c r="B11" s="274">
        <f>AVERAGEIFS('LKO &gt;90% of start level'!AB3:AB16,'LKO &gt;90% of start level'!AB3:AB16,"&gt;0")</f>
        <v>0.15248181818181816</v>
      </c>
      <c r="C11" s="275">
        <f>AVERAGEIFS('LKO &gt;90% of start level'!AC3:AC16,'LKO &gt;90% of start level'!AC3:AC16,"&gt;0")</f>
        <v>4.3127411399879613E-2</v>
      </c>
    </row>
    <row r="12" spans="1:3" x14ac:dyDescent="0.35">
      <c r="A12" s="261" t="s">
        <v>155</v>
      </c>
      <c r="B12" s="262">
        <f>MAX('LKO &gt;90% of start level'!AD3:AD16)</f>
        <v>0.32697694795572552</v>
      </c>
      <c r="C12" s="263">
        <f>MAX('LKO &gt;90% of start level'!AE3:AE16)</f>
        <v>0.32697694795572552</v>
      </c>
    </row>
    <row r="13" spans="1:3" x14ac:dyDescent="0.35">
      <c r="A13" s="254" t="s">
        <v>143</v>
      </c>
      <c r="B13" s="245">
        <f>MIN('LKO &gt;90% of start level'!AD3:AD16)</f>
        <v>4.2113619247287071E-3</v>
      </c>
      <c r="C13" s="239">
        <f>MIN('LKO &gt;90% of start level'!AE3:AE16)</f>
        <v>4.2113619247287071E-3</v>
      </c>
    </row>
    <row r="14" spans="1:3" ht="15" thickBot="1" x14ac:dyDescent="0.4">
      <c r="A14" s="264" t="s">
        <v>144</v>
      </c>
      <c r="B14" s="265">
        <f>AVERAGE('LKO &gt;90% of start level'!AD3:AD16)</f>
        <v>0.11429911365828302</v>
      </c>
      <c r="C14" s="266">
        <f>AVERAGE('LKO &gt;90% of start level'!AE3:AE16)</f>
        <v>0.11429911365828302</v>
      </c>
    </row>
    <row r="15" spans="1:3" x14ac:dyDescent="0.35">
      <c r="A15" s="258" t="s">
        <v>145</v>
      </c>
      <c r="B15" s="259">
        <f>MIN('LKO &gt;90% of start level'!I3:I16)</f>
        <v>0.6</v>
      </c>
      <c r="C15" s="260">
        <f>1-B15</f>
        <v>0.4</v>
      </c>
    </row>
    <row r="16" spans="1:3" x14ac:dyDescent="0.35">
      <c r="A16" s="255" t="s">
        <v>146</v>
      </c>
      <c r="B16" s="246">
        <f>MAX('LKO &gt;90% of start level'!I3:I16)</f>
        <v>0.6</v>
      </c>
      <c r="C16" s="240">
        <f t="shared" ref="C16:C17" si="0">1-B16</f>
        <v>0.4</v>
      </c>
    </row>
    <row r="17" spans="1:3" x14ac:dyDescent="0.35">
      <c r="A17" s="255" t="s">
        <v>147</v>
      </c>
      <c r="B17" s="246">
        <f>AVERAGE('LKO &gt;90% of start level'!I3:I16)</f>
        <v>0.59999999999999987</v>
      </c>
      <c r="C17" s="240">
        <f t="shared" si="0"/>
        <v>0.40000000000000013</v>
      </c>
    </row>
    <row r="18" spans="1:3" ht="15" thickBot="1" x14ac:dyDescent="0.4">
      <c r="A18" s="256" t="s">
        <v>148</v>
      </c>
      <c r="B18" s="351">
        <f>AVERAGE('LKO &gt;90% of start level'!AG3:AG16)</f>
        <v>0.41429911365828315</v>
      </c>
      <c r="C18" s="352"/>
    </row>
    <row r="19" spans="1:3" ht="15" thickBot="1" x14ac:dyDescent="0.4">
      <c r="A19" s="112" t="s">
        <v>11</v>
      </c>
      <c r="B19" s="81" t="s">
        <v>12</v>
      </c>
      <c r="C19" s="310">
        <v>3.23</v>
      </c>
    </row>
    <row r="21" spans="1:3" x14ac:dyDescent="0.35">
      <c r="A21" t="s">
        <v>156</v>
      </c>
    </row>
  </sheetData>
  <mergeCells count="2">
    <mergeCell ref="A2:C2"/>
    <mergeCell ref="B18:C18"/>
  </mergeCells>
  <pageMargins left="0.7" right="0.7" top="0.75" bottom="0.75" header="0.3" footer="0.3"/>
  <pageSetup paperSize="9"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331D0-6E7E-49E3-BC4A-085FFCC913D9}">
  <dimension ref="A1:AK30"/>
  <sheetViews>
    <sheetView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22" sqref="A22"/>
    </sheetView>
  </sheetViews>
  <sheetFormatPr defaultRowHeight="14.5" x14ac:dyDescent="0.35"/>
  <cols>
    <col min="1" max="1" width="3.81640625" style="19" customWidth="1"/>
    <col min="2" max="2" width="19.1796875" customWidth="1"/>
    <col min="3" max="3" width="16.1796875" customWidth="1"/>
    <col min="4" max="4" width="14.81640625" customWidth="1"/>
    <col min="5" max="5" width="12.54296875" customWidth="1"/>
    <col min="6" max="7" width="12.81640625" customWidth="1"/>
    <col min="8" max="8" width="11.1796875" bestFit="1" customWidth="1"/>
    <col min="9" max="9" width="14.81640625" customWidth="1"/>
    <col min="10" max="10" width="17.81640625" customWidth="1"/>
    <col min="11" max="12" width="14.81640625" customWidth="1"/>
    <col min="13" max="13" width="21" customWidth="1"/>
    <col min="14" max="14" width="39.453125" bestFit="1" customWidth="1"/>
    <col min="15" max="15" width="17.1796875" customWidth="1"/>
    <col min="16" max="16" width="12" customWidth="1"/>
    <col min="17" max="17" width="19.81640625" customWidth="1"/>
    <col min="18" max="18" width="16" customWidth="1"/>
    <col min="19" max="19" width="15.453125" customWidth="1"/>
    <col min="20" max="22" width="15" customWidth="1"/>
    <col min="23" max="23" width="20.1796875" customWidth="1"/>
    <col min="24" max="24" width="11.1796875" customWidth="1"/>
    <col min="25" max="26" width="19.54296875" customWidth="1"/>
    <col min="27" max="27" width="31.81640625" customWidth="1"/>
    <col min="28" max="28" width="19.453125" customWidth="1"/>
    <col min="29" max="29" width="16.81640625" customWidth="1"/>
    <col min="30" max="31" width="18.1796875" customWidth="1"/>
    <col min="32" max="32" width="20.54296875" bestFit="1" customWidth="1"/>
    <col min="33" max="33" width="22.1796875" customWidth="1"/>
    <col min="35" max="35" width="8.81640625" hidden="1" customWidth="1"/>
  </cols>
  <sheetData>
    <row r="1" spans="1:37" ht="15" thickBot="1" x14ac:dyDescent="0.4">
      <c r="A1" s="344" t="s">
        <v>157</v>
      </c>
      <c r="B1" s="344"/>
      <c r="C1" s="344"/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V1" s="344"/>
      <c r="W1" s="344"/>
      <c r="X1" s="344"/>
      <c r="Y1" s="344"/>
      <c r="Z1" s="344"/>
      <c r="AA1" s="344"/>
      <c r="AB1" s="344"/>
      <c r="AC1" s="344"/>
      <c r="AD1" s="344"/>
      <c r="AE1" s="344"/>
      <c r="AF1" s="344"/>
      <c r="AG1" s="346"/>
    </row>
    <row r="2" spans="1:37" ht="45" customHeight="1" thickBot="1" x14ac:dyDescent="0.4">
      <c r="A2" s="21"/>
      <c r="B2" s="10" t="s">
        <v>41</v>
      </c>
      <c r="C2" s="10" t="s">
        <v>42</v>
      </c>
      <c r="D2" s="172" t="s">
        <v>43</v>
      </c>
      <c r="E2" s="15" t="s">
        <v>44</v>
      </c>
      <c r="F2" s="10" t="s">
        <v>45</v>
      </c>
      <c r="G2" s="8" t="s">
        <v>46</v>
      </c>
      <c r="H2" s="9" t="s">
        <v>47</v>
      </c>
      <c r="I2" s="9" t="s">
        <v>48</v>
      </c>
      <c r="J2" s="15" t="s">
        <v>49</v>
      </c>
      <c r="K2" s="10" t="s">
        <v>50</v>
      </c>
      <c r="L2" s="14" t="s">
        <v>51</v>
      </c>
      <c r="M2" s="9" t="s">
        <v>176</v>
      </c>
      <c r="N2" s="9" t="s">
        <v>53</v>
      </c>
      <c r="O2" s="9" t="s">
        <v>54</v>
      </c>
      <c r="P2" s="9" t="s">
        <v>55</v>
      </c>
      <c r="Q2" s="9" t="s">
        <v>56</v>
      </c>
      <c r="R2" s="9" t="s">
        <v>57</v>
      </c>
      <c r="S2" s="10" t="s">
        <v>58</v>
      </c>
      <c r="T2" s="10" t="s">
        <v>59</v>
      </c>
      <c r="U2" s="10" t="s">
        <v>60</v>
      </c>
      <c r="V2" s="10" t="s">
        <v>61</v>
      </c>
      <c r="W2" s="10" t="s">
        <v>62</v>
      </c>
      <c r="X2" s="10" t="s">
        <v>63</v>
      </c>
      <c r="Y2" s="10" t="s">
        <v>64</v>
      </c>
      <c r="Z2" s="10" t="s">
        <v>65</v>
      </c>
      <c r="AA2" s="10" t="s">
        <v>66</v>
      </c>
      <c r="AB2" s="10" t="s">
        <v>67</v>
      </c>
      <c r="AC2" s="10" t="s">
        <v>68</v>
      </c>
      <c r="AD2" s="15" t="s">
        <v>69</v>
      </c>
      <c r="AE2" s="15" t="s">
        <v>70</v>
      </c>
      <c r="AF2" s="10" t="s">
        <v>71</v>
      </c>
      <c r="AG2" s="52" t="s">
        <v>72</v>
      </c>
    </row>
    <row r="3" spans="1:37" x14ac:dyDescent="0.35">
      <c r="A3" s="25">
        <v>3</v>
      </c>
      <c r="B3" s="177" t="s">
        <v>78</v>
      </c>
      <c r="C3" s="167" t="s">
        <v>74</v>
      </c>
      <c r="D3" s="169" t="s">
        <v>75</v>
      </c>
      <c r="E3" s="168" t="s">
        <v>44</v>
      </c>
      <c r="F3" s="313">
        <f>VLOOKUP($A3,'All LKO plans'!$A$3:$AG$29,F$30+1)</f>
        <v>43336</v>
      </c>
      <c r="G3" s="304">
        <f>VLOOKUP($A3,'All LKO plans'!$A$3:$AG$29,G$30+1)</f>
        <v>44432</v>
      </c>
      <c r="H3" s="40">
        <f>VLOOKUP($A3,'All LKO plans'!$A$3:$AG$29,H$30+1)</f>
        <v>1042.0999999999999</v>
      </c>
      <c r="I3" s="1">
        <f>VLOOKUP($A3,'All LKO plans'!$A$3:$AG$29,I$30+1)</f>
        <v>0.6</v>
      </c>
      <c r="J3" s="3">
        <f>VLOOKUP($A3,'All LKO plans'!$A$3:$AG$29,J$30+1)</f>
        <v>0.4</v>
      </c>
      <c r="K3" s="83">
        <f>VLOOKUP($A3,'All LKO plans'!$A$3:$AG$29,K$30+1)</f>
        <v>625.25999999999988</v>
      </c>
      <c r="L3" s="88">
        <f>VLOOKUP($A3,'All LKO plans'!$A$3:$AG$29,L$30+1)</f>
        <v>6.8500000000000005E-2</v>
      </c>
      <c r="M3" s="86">
        <f>VLOOKUP($A3,'All LKO plans'!$A$3:$AG$29,M$30+1)</f>
        <v>1</v>
      </c>
      <c r="N3" s="1" t="str">
        <f>VLOOKUP($A3,'All LKO plans'!$A$3:$AG$29,N$30+1)</f>
        <v>100%, 95%, 90%, 85%, 80%, 75%, 70%, 65%</v>
      </c>
      <c r="O3" s="3">
        <f>VLOOKUP($A3,'All LKO plans'!$A$3:$AG$29,O$30+1)</f>
        <v>0.65</v>
      </c>
      <c r="P3" s="28">
        <f>VLOOKUP($A3,'All LKO plans'!$A$3:$AG$29,P$30+1)</f>
        <v>3</v>
      </c>
      <c r="Q3" s="5">
        <f>VLOOKUP($A3,'All LKO plans'!$A$3:$AG$29,Q$30+1)</f>
        <v>1042.0999999999999</v>
      </c>
      <c r="R3" s="5">
        <f>VLOOKUP($A3,'All LKO plans'!$A$3:$AG$29,R$30+1)</f>
        <v>1073.75</v>
      </c>
      <c r="S3" s="92">
        <f>VLOOKUP($A3,'All LKO plans'!$A$3:$AG$29,S$30+1)</f>
        <v>1.0303713655119471</v>
      </c>
      <c r="T3" s="151">
        <f>VLOOKUP($A3,'All LKO plans'!$A$3:$AG$29,T$30+1)</f>
        <v>0.20550000000000002</v>
      </c>
      <c r="U3" s="118">
        <f>T3/3</f>
        <v>6.8500000000000005E-2</v>
      </c>
      <c r="V3" s="152">
        <f>(((1+(U3*P3))/1)^(1/P3)-1)</f>
        <v>6.4279601269848774E-2</v>
      </c>
      <c r="W3" s="31">
        <f>VLOOKUP($A3,'All LKO plans'!$A$3:$AG$29,W$30+1)</f>
        <v>0</v>
      </c>
      <c r="X3" s="31">
        <f>VLOOKUP($A3,'All LKO plans'!$A$3:$AG$29,X$30+1)</f>
        <v>1</v>
      </c>
      <c r="Y3" s="31">
        <f>VLOOKUP($A3,'All LKO plans'!$A$3:$AG$29,Y$30+1)</f>
        <v>0</v>
      </c>
      <c r="Z3" s="31" t="str">
        <f>VLOOKUP($A3,'All LKO plans'!$A$3:$AG$29,Z$30+1)</f>
        <v>Daily / No charge</v>
      </c>
      <c r="AA3" s="98">
        <f>VLOOKUP($A3,'All LKO plans'!$A$3:$AG$29,AA$30+1)</f>
        <v>4.7199999999999999E-2</v>
      </c>
      <c r="AB3" s="103">
        <f>VLOOKUP($A3,'All LKO plans'!$A$3:$AG$29,AB$30+1)</f>
        <v>0.15830000000000002</v>
      </c>
      <c r="AC3" s="105">
        <f>VLOOKUP($A3,'All LKO plans'!$A$3:$AG$29,AC$30+1)</f>
        <v>5.0204041979485359E-2</v>
      </c>
      <c r="AD3" s="101">
        <f>VLOOKUP($A3,'All LKO plans'!$A$3:$AG$29,AD$30+1)</f>
        <v>3.0371365511947079E-2</v>
      </c>
      <c r="AE3" s="50">
        <f>VLOOKUP($A3,'All LKO plans'!$A$3:$AG$29,AE$30+1)</f>
        <v>0.38037136551194706</v>
      </c>
      <c r="AF3" s="72">
        <f>VLOOKUP($A3,'All LKO plans'!$A$3:$AG$29,AF$30+1)</f>
        <v>0.68500000000000005</v>
      </c>
      <c r="AG3" s="35">
        <f>VLOOKUP($A3,'All LKO plans'!$A$3:$AG$29,AG$30+1)</f>
        <v>0.4303713655119471</v>
      </c>
      <c r="AI3">
        <f>VLOOKUP($A3,'All LKO plans'!$A$3:$AI$106,28)</f>
        <v>0.15830000000000002</v>
      </c>
    </row>
    <row r="4" spans="1:37" x14ac:dyDescent="0.35">
      <c r="A4" s="25">
        <v>6</v>
      </c>
      <c r="B4" s="177" t="s">
        <v>82</v>
      </c>
      <c r="C4" s="167" t="s">
        <v>74</v>
      </c>
      <c r="D4" s="169" t="s">
        <v>75</v>
      </c>
      <c r="E4" s="168" t="s">
        <v>44</v>
      </c>
      <c r="F4" s="313">
        <v>43399</v>
      </c>
      <c r="G4" s="305">
        <f t="shared" ref="G4:G16" si="0">EDATE(F4,36)</f>
        <v>44495</v>
      </c>
      <c r="H4" s="40">
        <v>929.79</v>
      </c>
      <c r="I4" s="1">
        <v>0.6</v>
      </c>
      <c r="J4" s="3">
        <f>VLOOKUP($A4,'All LKO plans'!$A$3:$AG$29,J$30+1)</f>
        <v>0.4</v>
      </c>
      <c r="K4" s="83">
        <f>VLOOKUP($A4,'All LKO plans'!$A$3:$AG$29,K$30+1)</f>
        <v>557.87399999999991</v>
      </c>
      <c r="L4" s="89">
        <f>VLOOKUP($A4,'All LKO plans'!$A$3:$AG$29,L$30+1)</f>
        <v>6.8500000000000005E-2</v>
      </c>
      <c r="M4" s="86">
        <f>VLOOKUP($A4,'All LKO plans'!$A$3:$AG$29,M$30+1)</f>
        <v>1</v>
      </c>
      <c r="N4" s="1" t="str">
        <f>VLOOKUP($A4,'All LKO plans'!$A$3:$AG$29,N$30+1)</f>
        <v>100%, 95%, 90%, 85%, 80%, 75%, 70%, 65%</v>
      </c>
      <c r="O4" s="3">
        <f>VLOOKUP($A4,'All LKO plans'!$A$3:$AG$29,O$30+1)</f>
        <v>0.65</v>
      </c>
      <c r="P4" s="28">
        <f>VLOOKUP($A4,'All LKO plans'!$A$3:$AG$29,P$30+1)</f>
        <v>3</v>
      </c>
      <c r="Q4" s="5">
        <f>VLOOKUP($A4,'All LKO plans'!$A$3:$AG$29,Q$30+1)</f>
        <v>929.79</v>
      </c>
      <c r="R4" s="5">
        <f>VLOOKUP($A4,'All LKO plans'!$A$3:$AG$29,R$30+1)</f>
        <v>1061.6300000000001</v>
      </c>
      <c r="S4" s="92">
        <f>VLOOKUP($A4,'All LKO plans'!$A$3:$AG$29,S$30+1)</f>
        <v>1.1417954591897097</v>
      </c>
      <c r="T4" s="150">
        <f>VLOOKUP($A4,'All LKO plans'!$A$3:$AG$29,T$30+1)</f>
        <v>0.20550000000000002</v>
      </c>
      <c r="U4" s="149">
        <f t="shared" ref="U4:U12" si="1">T4/3</f>
        <v>6.8500000000000005E-2</v>
      </c>
      <c r="V4" s="71">
        <f t="shared" ref="V4:V12" si="2">(((1+(U4*P4))/1)^(1/P4)-1)</f>
        <v>6.4279601269848774E-2</v>
      </c>
      <c r="W4" s="31">
        <f>VLOOKUP($A4,'All LKO plans'!$A$3:$AG$29,W$30+1)</f>
        <v>0</v>
      </c>
      <c r="X4" s="31">
        <f>VLOOKUP($A4,'All LKO plans'!$A$3:$AG$29,X$30+1)</f>
        <v>1</v>
      </c>
      <c r="Y4" s="31">
        <f>VLOOKUP($A4,'All LKO plans'!$A$3:$AG$29,Y$30+1)</f>
        <v>0</v>
      </c>
      <c r="Z4" s="31" t="str">
        <f>VLOOKUP($A4,'All LKO plans'!$A$3:$AG$29,Z$30+1)</f>
        <v>Daily / No charge</v>
      </c>
      <c r="AA4" s="98">
        <f>VLOOKUP($A4,'All LKO plans'!$A$3:$AG$29,AA$30+1)</f>
        <v>0.1741</v>
      </c>
      <c r="AB4" s="104">
        <f>VLOOKUP($A4,'All LKO plans'!$A$3:$AG$29,AB$30+1)</f>
        <v>3.1400000000000011E-2</v>
      </c>
      <c r="AC4" s="106">
        <f>VLOOKUP($A4,'All LKO plans'!$A$3:$AG$29,AC$30+1)</f>
        <v>1.0358987508245043E-2</v>
      </c>
      <c r="AD4" s="101">
        <f>VLOOKUP($A4,'All LKO plans'!$A$3:$AG$29,AD$30+1)</f>
        <v>0.1417954591897097</v>
      </c>
      <c r="AE4" s="50">
        <f>VLOOKUP($A4,'All LKO plans'!$A$3:$AG$29,AE$30+1)</f>
        <v>0.49179545918970968</v>
      </c>
      <c r="AF4" s="72">
        <f>VLOOKUP($A4,'All LKO plans'!$A$3:$AG$29,AF$30+1)</f>
        <v>0.68500000000000005</v>
      </c>
      <c r="AG4" s="35">
        <f>VLOOKUP($A4,'All LKO plans'!$A$3:$AG$29,AG$30+1)</f>
        <v>0.54179545918970973</v>
      </c>
      <c r="AI4">
        <f>VLOOKUP($A4,'All LKO plans'!$A$3:$AI$106,28)</f>
        <v>3.1400000000000011E-2</v>
      </c>
    </row>
    <row r="5" spans="1:37" x14ac:dyDescent="0.35">
      <c r="A5" s="25">
        <v>9</v>
      </c>
      <c r="B5" s="177" t="s">
        <v>85</v>
      </c>
      <c r="C5" s="167" t="s">
        <v>74</v>
      </c>
      <c r="D5" s="169" t="s">
        <v>75</v>
      </c>
      <c r="E5" s="168" t="s">
        <v>44</v>
      </c>
      <c r="F5" s="313">
        <v>43463</v>
      </c>
      <c r="G5" s="305">
        <f t="shared" si="0"/>
        <v>44559</v>
      </c>
      <c r="H5" s="40">
        <v>895.37</v>
      </c>
      <c r="I5" s="1">
        <v>0.6</v>
      </c>
      <c r="J5" s="3">
        <f>VLOOKUP($A5,'All LKO plans'!$A$3:$AG$29,J$30+1)</f>
        <v>0.4</v>
      </c>
      <c r="K5" s="83">
        <f>VLOOKUP($A5,'All LKO plans'!$A$3:$AG$29,K$30+1)</f>
        <v>537.22199999999998</v>
      </c>
      <c r="L5" s="89">
        <f>VLOOKUP($A5,'All LKO plans'!$A$3:$AG$29,L$30+1)</f>
        <v>7.7499999999999999E-2</v>
      </c>
      <c r="M5" s="86">
        <f>VLOOKUP($A5,'All LKO plans'!$A$3:$AG$29,M$30+1)</f>
        <v>1</v>
      </c>
      <c r="N5" s="1" t="str">
        <f>VLOOKUP($A5,'All LKO plans'!$A$3:$AG$29,N$30+1)</f>
        <v>100%, 95%, 90%, 85%, 80%, 75%, 70%, 65%</v>
      </c>
      <c r="O5" s="3">
        <f>VLOOKUP($A5,'All LKO plans'!$A$3:$AG$29,O$30+1)</f>
        <v>0.65</v>
      </c>
      <c r="P5" s="28">
        <f>VLOOKUP($A5,'All LKO plans'!$A$3:$AG$29,P$30+1)</f>
        <v>3</v>
      </c>
      <c r="Q5" s="5">
        <f>VLOOKUP($A5,'All LKO plans'!$A$3:$AG$29,Q$30+1)</f>
        <v>895.37</v>
      </c>
      <c r="R5" s="5">
        <f>VLOOKUP($A5,'All LKO plans'!$A$3:$AG$29,R$30+1)</f>
        <v>1076.1500000000001</v>
      </c>
      <c r="S5" s="92">
        <f>VLOOKUP($A5,'All LKO plans'!$A$3:$AG$29,S$30+1)</f>
        <v>1.2019053575616785</v>
      </c>
      <c r="T5" s="150">
        <f>VLOOKUP($A5,'All LKO plans'!$A$3:$AG$29,T$30+1)</f>
        <v>0.23249999999999998</v>
      </c>
      <c r="U5" s="149">
        <f t="shared" si="1"/>
        <v>7.7499999999999999E-2</v>
      </c>
      <c r="V5" s="71">
        <f t="shared" si="2"/>
        <v>7.2166687156587805E-2</v>
      </c>
      <c r="W5" s="31">
        <f>VLOOKUP($A5,'All LKO plans'!$A$3:$AG$29,W$30+1)</f>
        <v>0</v>
      </c>
      <c r="X5" s="31">
        <f>VLOOKUP($A5,'All LKO plans'!$A$3:$AG$29,X$30+1)</f>
        <v>1</v>
      </c>
      <c r="Y5" s="31">
        <f>VLOOKUP($A5,'All LKO plans'!$A$3:$AG$29,Y$30+1)</f>
        <v>0</v>
      </c>
      <c r="Z5" s="31" t="str">
        <f>VLOOKUP($A5,'All LKO plans'!$A$3:$AG$29,Z$30+1)</f>
        <v>Daily / No charge</v>
      </c>
      <c r="AA5" s="98">
        <f>VLOOKUP($A5,'All LKO plans'!$A$3:$AG$29,AA$30+1)</f>
        <v>0.23180000000000001</v>
      </c>
      <c r="AB5" s="104">
        <f>VLOOKUP($A5,'All LKO plans'!$A$3:$AG$29,AB$30+1)</f>
        <v>6.9999999999997842E-4</v>
      </c>
      <c r="AC5" s="106">
        <f>VLOOKUP($A5,'All LKO plans'!$A$3:$AG$29,AC$30+1)</f>
        <v>2.3327891005187062E-4</v>
      </c>
      <c r="AD5" s="101">
        <f>VLOOKUP($A5,'All LKO plans'!$A$3:$AG$29,AD$30+1)</f>
        <v>0.20190535756167849</v>
      </c>
      <c r="AE5" s="50">
        <f>VLOOKUP($A5,'All LKO plans'!$A$3:$AG$29,AE$30+1)</f>
        <v>0.55190535756167847</v>
      </c>
      <c r="AF5" s="72">
        <f>VLOOKUP($A5,'All LKO plans'!$A$3:$AG$29,AF$30+1)</f>
        <v>0.77500000000000002</v>
      </c>
      <c r="AG5" s="35">
        <f>VLOOKUP($A5,'All LKO plans'!$A$3:$AG$29,AG$30+1)</f>
        <v>0.60190535756167851</v>
      </c>
      <c r="AI5">
        <f>VLOOKUP($A5,'All LKO plans'!$A$3:$AI$106,28)</f>
        <v>6.9999999999997842E-4</v>
      </c>
    </row>
    <row r="6" spans="1:37" x14ac:dyDescent="0.35">
      <c r="A6" s="25">
        <v>12</v>
      </c>
      <c r="B6" s="177" t="s">
        <v>88</v>
      </c>
      <c r="C6" s="167" t="s">
        <v>74</v>
      </c>
      <c r="D6" s="169" t="s">
        <v>75</v>
      </c>
      <c r="E6" s="168" t="s">
        <v>44</v>
      </c>
      <c r="F6" s="313">
        <v>43518</v>
      </c>
      <c r="G6" s="305">
        <f t="shared" si="0"/>
        <v>44614</v>
      </c>
      <c r="H6" s="40">
        <v>968.05</v>
      </c>
      <c r="I6" s="1">
        <v>0.6</v>
      </c>
      <c r="J6" s="3">
        <f>VLOOKUP($A6,'All LKO plans'!$A$3:$AG$29,J$30+1)</f>
        <v>0.4</v>
      </c>
      <c r="K6" s="83">
        <f>VLOOKUP($A6,'All LKO plans'!$A$3:$AG$29,K$30+1)</f>
        <v>580.82999999999993</v>
      </c>
      <c r="L6" s="89">
        <f>VLOOKUP($A6,'All LKO plans'!$A$3:$AG$29,L$30+1)</f>
        <v>8.7499999999999994E-2</v>
      </c>
      <c r="M6" s="86">
        <f>VLOOKUP($A6,'All LKO plans'!$A$3:$AG$29,M$30+1)</f>
        <v>1</v>
      </c>
      <c r="N6" s="1" t="str">
        <f>VLOOKUP($A6,'All LKO plans'!$A$3:$AG$29,N$30+1)</f>
        <v>100%, 95%, 90%, 85%, 80%, 75%, 70%, 65%</v>
      </c>
      <c r="O6" s="3">
        <f>VLOOKUP($A6,'All LKO plans'!$A$3:$AG$29,O$30+1)</f>
        <v>0.65</v>
      </c>
      <c r="P6" s="28">
        <f>VLOOKUP($A6,'All LKO plans'!$A$3:$AG$29,P$30+1)</f>
        <v>3</v>
      </c>
      <c r="Q6" s="5">
        <f>VLOOKUP($A6,'All LKO plans'!$A$3:$AG$29,Q$30+1)</f>
        <v>968.05</v>
      </c>
      <c r="R6" s="5">
        <f>VLOOKUP($A6,'All LKO plans'!$A$3:$AG$29,R$30+1)</f>
        <v>1017.73</v>
      </c>
      <c r="S6" s="92">
        <f>VLOOKUP($A6,'All LKO plans'!$A$3:$AG$29,S$30+1)</f>
        <v>1.0513196632405353</v>
      </c>
      <c r="T6" s="150">
        <f>VLOOKUP($A6,'All LKO plans'!$A$3:$AG$29,T$30+1)</f>
        <v>0.26249999999999996</v>
      </c>
      <c r="U6" s="149">
        <f t="shared" si="1"/>
        <v>8.7499999999999981E-2</v>
      </c>
      <c r="V6" s="71">
        <f t="shared" si="2"/>
        <v>8.0796166472541397E-2</v>
      </c>
      <c r="W6" s="31">
        <f>VLOOKUP($A6,'All LKO plans'!$A$3:$AG$29,W$30+1)</f>
        <v>0</v>
      </c>
      <c r="X6" s="31">
        <f>VLOOKUP($A6,'All LKO plans'!$A$3:$AG$29,X$30+1)</f>
        <v>1</v>
      </c>
      <c r="Y6" s="31">
        <f>VLOOKUP($A6,'All LKO plans'!$A$3:$AG$29,Y$30+1)</f>
        <v>0</v>
      </c>
      <c r="Z6" s="31" t="str">
        <f>VLOOKUP($A6,'All LKO plans'!$A$3:$AG$29,Z$30+1)</f>
        <v>Daily / No charge</v>
      </c>
      <c r="AA6" s="98">
        <f>VLOOKUP($A6,'All LKO plans'!$A$3:$AG$29,AA$30+1)</f>
        <v>0.16200000000000001</v>
      </c>
      <c r="AB6" s="104">
        <f>VLOOKUP($A6,'All LKO plans'!$A$3:$AG$29,AB$30+1)</f>
        <v>0.10049999999999995</v>
      </c>
      <c r="AC6" s="106">
        <f>VLOOKUP($A6,'All LKO plans'!$A$3:$AG$29,AC$30+1)</f>
        <v>3.2436497842558421E-2</v>
      </c>
      <c r="AD6" s="101">
        <f>VLOOKUP($A6,'All LKO plans'!$A$3:$AG$29,AD$30+1)</f>
        <v>5.1319663240535274E-2</v>
      </c>
      <c r="AE6" s="50">
        <f>VLOOKUP($A6,'All LKO plans'!$A$3:$AG$29,AE$30+1)</f>
        <v>0.40131966324053525</v>
      </c>
      <c r="AF6" s="72">
        <f>VLOOKUP($A6,'All LKO plans'!$A$3:$AG$29,AF$30+1)</f>
        <v>0.87499999999999978</v>
      </c>
      <c r="AG6" s="35">
        <f>VLOOKUP($A6,'All LKO plans'!$A$3:$AG$29,AG$30+1)</f>
        <v>0.4513196632405353</v>
      </c>
      <c r="AI6">
        <f>VLOOKUP($A6,'All LKO plans'!$A$3:$AI$106,28)</f>
        <v>0.10049999999999995</v>
      </c>
    </row>
    <row r="7" spans="1:37" x14ac:dyDescent="0.35">
      <c r="A7" s="25">
        <v>18</v>
      </c>
      <c r="B7" s="181" t="s">
        <v>95</v>
      </c>
      <c r="C7" s="167" t="s">
        <v>74</v>
      </c>
      <c r="D7" s="167" t="s">
        <v>93</v>
      </c>
      <c r="E7" s="168" t="s">
        <v>44</v>
      </c>
      <c r="F7" s="313">
        <v>43889</v>
      </c>
      <c r="G7" s="305">
        <f t="shared" si="0"/>
        <v>44985</v>
      </c>
      <c r="H7" s="40">
        <v>919.68</v>
      </c>
      <c r="I7" s="1">
        <v>0.6</v>
      </c>
      <c r="J7" s="3">
        <f>VLOOKUP($A7,'All LKO plans'!$A$3:$AG$29,J$30+1)</f>
        <v>0.4</v>
      </c>
      <c r="K7" s="83">
        <f>VLOOKUP($A7,'All LKO plans'!$A$3:$AG$29,K$30+1)</f>
        <v>551.80799999999999</v>
      </c>
      <c r="L7" s="89">
        <f>VLOOKUP($A7,'All LKO plans'!$A$3:$AG$29,L$30+1)</f>
        <v>7.0000000000000007E-2</v>
      </c>
      <c r="M7" s="86">
        <f>VLOOKUP($A7,'All LKO plans'!$A$3:$AG$29,M$30+1)</f>
        <v>1</v>
      </c>
      <c r="N7" s="1" t="str">
        <f>VLOOKUP($A7,'All LKO plans'!$A$3:$AG$29,N$30+1)</f>
        <v>100%, 95%, 90%, 85%, 80%, 75%, 70%, 65%</v>
      </c>
      <c r="O7" s="3">
        <f>VLOOKUP($A7,'All LKO plans'!$A$3:$AG$29,O$30+1)</f>
        <v>0.65</v>
      </c>
      <c r="P7" s="28">
        <f>VLOOKUP($A7,'All LKO plans'!$A$3:$AG$29,P$30+1)</f>
        <v>3</v>
      </c>
      <c r="Q7" s="5">
        <f>VLOOKUP($A7,'All LKO plans'!$A$3:$AG$29,Q$30+1)</f>
        <v>919.68</v>
      </c>
      <c r="R7" s="5">
        <f>VLOOKUP($A7,'All LKO plans'!$A$3:$AG$29,R$30+1)</f>
        <v>957.93</v>
      </c>
      <c r="S7" s="92">
        <f>VLOOKUP($A7,'All LKO plans'!$A$3:$AG$29,S$30+1)</f>
        <v>1.0415905532359082</v>
      </c>
      <c r="T7" s="150">
        <f>VLOOKUP($A7,'All LKO plans'!$A$3:$AG$29,T$30+1)</f>
        <v>0.21000000000000002</v>
      </c>
      <c r="U7" s="149">
        <f t="shared" si="1"/>
        <v>7.0000000000000007E-2</v>
      </c>
      <c r="V7" s="71">
        <f t="shared" si="2"/>
        <v>6.56022367666107E-2</v>
      </c>
      <c r="W7" s="31">
        <f>VLOOKUP($A7,'All LKO plans'!$A$3:$AG$29,W$30+1)</f>
        <v>0</v>
      </c>
      <c r="X7" s="31">
        <f>VLOOKUP($A7,'All LKO plans'!$A$3:$AG$29,X$30+1)</f>
        <v>1</v>
      </c>
      <c r="Y7" s="31">
        <f>VLOOKUP($A7,'All LKO plans'!$A$3:$AG$29,Y$30+1)</f>
        <v>0</v>
      </c>
      <c r="Z7" s="31" t="str">
        <f>VLOOKUP($A7,'All LKO plans'!$A$3:$AG$29,Z$30+1)</f>
        <v>Daily / No charge</v>
      </c>
      <c r="AA7" s="98">
        <f>VLOOKUP($A7,'All LKO plans'!$A$3:$AG$29,AA$30+1)</f>
        <v>0.32919999999999999</v>
      </c>
      <c r="AB7" s="104">
        <f>VLOOKUP($A7,'All LKO plans'!$A$3:$AG$29,AB$30+1)</f>
        <v>-0.11919999999999997</v>
      </c>
      <c r="AC7" s="106">
        <f>VLOOKUP($A7,'All LKO plans'!$A$3:$AG$29,AC$30+1)</f>
        <v>-4.142572745747275E-2</v>
      </c>
      <c r="AD7" s="101">
        <f>VLOOKUP($A7,'All LKO plans'!$A$3:$AG$29,AD$30+1)</f>
        <v>4.1590553235908212E-2</v>
      </c>
      <c r="AE7" s="50">
        <f>VLOOKUP($A7,'All LKO plans'!$A$3:$AG$29,AE$30+1)</f>
        <v>0.39159055323590819</v>
      </c>
      <c r="AF7" s="72">
        <f>VLOOKUP($A7,'All LKO plans'!$A$3:$AG$29,AF$30+1)</f>
        <v>0.70000000000000007</v>
      </c>
      <c r="AG7" s="35">
        <f>VLOOKUP($A7,'All LKO plans'!$A$3:$AG$29,AG$30+1)</f>
        <v>0.44159055323590823</v>
      </c>
      <c r="AI7">
        <f>VLOOKUP($A7,'All LKO plans'!$A$3:$AI$106,28)</f>
        <v>-0.11919999999999997</v>
      </c>
    </row>
    <row r="8" spans="1:37" x14ac:dyDescent="0.35">
      <c r="A8" s="25">
        <v>20</v>
      </c>
      <c r="B8" s="180" t="s">
        <v>97</v>
      </c>
      <c r="C8" s="167" t="s">
        <v>74</v>
      </c>
      <c r="D8" s="167" t="s">
        <v>93</v>
      </c>
      <c r="E8" s="168" t="s">
        <v>44</v>
      </c>
      <c r="F8" s="302">
        <v>43938</v>
      </c>
      <c r="G8" s="305">
        <f t="shared" si="0"/>
        <v>45033</v>
      </c>
      <c r="H8" s="40">
        <v>776.07</v>
      </c>
      <c r="I8" s="1">
        <v>0.6</v>
      </c>
      <c r="J8" s="3">
        <f>VLOOKUP($A8,'All LKO plans'!$A$3:$AG$29,J$30+1)</f>
        <v>0.4</v>
      </c>
      <c r="K8" s="83">
        <f>VLOOKUP($A8,'All LKO plans'!$A$3:$AG$29,K$30+1)</f>
        <v>465.642</v>
      </c>
      <c r="L8" s="89">
        <f>VLOOKUP($A8,'All LKO plans'!$A$3:$AG$29,L$30+1)</f>
        <v>7.0999999999999994E-2</v>
      </c>
      <c r="M8" s="86">
        <f>VLOOKUP($A8,'All LKO plans'!$A$3:$AG$29,M$30+1)</f>
        <v>1</v>
      </c>
      <c r="N8" s="1" t="str">
        <f>VLOOKUP($A8,'All LKO plans'!$A$3:$AG$29,N$30+1)</f>
        <v>100%, 95%, 90%, 85%, 80%, 75%, 70%, 65%</v>
      </c>
      <c r="O8" s="3">
        <f>VLOOKUP($A8,'All LKO plans'!$A$3:$AG$29,O$30+1)</f>
        <v>0.65</v>
      </c>
      <c r="P8" s="28">
        <f>VLOOKUP($A8,'All LKO plans'!$A$3:$AG$29,P$30+1)</f>
        <v>3</v>
      </c>
      <c r="Q8" s="5">
        <f>VLOOKUP($A8,'All LKO plans'!$A$3:$AG$29,Q$30+1)</f>
        <v>776.07</v>
      </c>
      <c r="R8" s="5">
        <f>VLOOKUP($A8,'All LKO plans'!$A$3:$AG$29,R$30+1)</f>
        <v>952.22</v>
      </c>
      <c r="S8" s="92">
        <f>VLOOKUP($A8,'All LKO plans'!$A$3:$AG$29,S$30+1)</f>
        <v>1.2269769479557255</v>
      </c>
      <c r="T8" s="150">
        <f>VLOOKUP($A8,'All LKO plans'!$A$3:$AG$29,T$30+1)</f>
        <v>0.21299999999999997</v>
      </c>
      <c r="U8" s="149">
        <f t="shared" si="1"/>
        <v>7.0999999999999994E-2</v>
      </c>
      <c r="V8" s="71">
        <f t="shared" si="2"/>
        <v>6.6482172952391005E-2</v>
      </c>
      <c r="W8" s="31">
        <f>VLOOKUP($A8,'All LKO plans'!$A$3:$AG$29,W$30+1)</f>
        <v>0</v>
      </c>
      <c r="X8" s="31">
        <f>VLOOKUP($A8,'All LKO plans'!$A$3:$AG$29,X$30+1)</f>
        <v>1</v>
      </c>
      <c r="Y8" s="31">
        <f>VLOOKUP($A8,'All LKO plans'!$A$3:$AG$29,Y$30+1)</f>
        <v>0</v>
      </c>
      <c r="Z8" s="31" t="str">
        <f>VLOOKUP($A8,'All LKO plans'!$A$3:$AG$29,Z$30+1)</f>
        <v>Daily / No charge</v>
      </c>
      <c r="AA8" s="98">
        <f>VLOOKUP($A8,'All LKO plans'!$A$3:$AG$29,AA$30+1)</f>
        <v>0.5111</v>
      </c>
      <c r="AB8" s="104">
        <f>VLOOKUP($A8,'All LKO plans'!$A$3:$AG$29,AB$30+1)</f>
        <v>-0.29810000000000003</v>
      </c>
      <c r="AC8" s="106">
        <f>VLOOKUP($A8,'All LKO plans'!$A$3:$AG$29,AC$30+1)</f>
        <v>-0.11129338228047936</v>
      </c>
      <c r="AD8" s="101">
        <f>VLOOKUP($A8,'All LKO plans'!$A$3:$AG$29,AD$30+1)</f>
        <v>0.22697694795572554</v>
      </c>
      <c r="AE8" s="50">
        <f>VLOOKUP($A8,'All LKO plans'!$A$3:$AG$29,AE$30+1)</f>
        <v>0.57697694795572552</v>
      </c>
      <c r="AF8" s="72">
        <f>VLOOKUP($A8,'All LKO plans'!$A$3:$AG$29,AF$30+1)</f>
        <v>0.71</v>
      </c>
      <c r="AG8" s="35">
        <f>VLOOKUP($A8,'All LKO plans'!$A$3:$AG$29,AG$30+1)</f>
        <v>0.62697694795572556</v>
      </c>
      <c r="AI8">
        <f>VLOOKUP($A8,'All LKO plans'!$A$3:$AI$106,28)</f>
        <v>-0.29810000000000003</v>
      </c>
    </row>
    <row r="9" spans="1:37" x14ac:dyDescent="0.35">
      <c r="A9" s="25">
        <v>23</v>
      </c>
      <c r="B9" s="174" t="s">
        <v>100</v>
      </c>
      <c r="C9" s="167" t="s">
        <v>74</v>
      </c>
      <c r="D9" s="167" t="s">
        <v>93</v>
      </c>
      <c r="E9" s="167" t="s">
        <v>44</v>
      </c>
      <c r="F9" s="302">
        <v>44001</v>
      </c>
      <c r="G9" s="305">
        <f t="shared" si="0"/>
        <v>45096</v>
      </c>
      <c r="H9" s="40">
        <v>867.18</v>
      </c>
      <c r="I9" s="1">
        <v>0.3</v>
      </c>
      <c r="J9" s="3">
        <f>VLOOKUP($A9,'All LKO plans'!$A$3:$AG$29,J$30+1)</f>
        <v>0.7</v>
      </c>
      <c r="K9" s="83">
        <f>VLOOKUP($A9,'All LKO plans'!$A$3:$AG$29,K$30+1)</f>
        <v>260.154</v>
      </c>
      <c r="L9" s="89">
        <f>VLOOKUP($A9,'All LKO plans'!$A$3:$AG$29,L$30+1)</f>
        <v>5.7500000000000002E-2</v>
      </c>
      <c r="M9" s="86">
        <f>VLOOKUP($A9,'All LKO plans'!$A$3:$AG$29,M$30+1)</f>
        <v>1</v>
      </c>
      <c r="N9" s="1" t="str">
        <f>VLOOKUP($A9,'All LKO plans'!$A$3:$AG$29,N$30+1)</f>
        <v>100%, 90%, 80%, 70%, 60%, 50%, 40%, 30%</v>
      </c>
      <c r="O9" s="3">
        <f>VLOOKUP($A9,'All LKO plans'!$A$3:$AG$29,O$30+1)</f>
        <v>0.3</v>
      </c>
      <c r="P9" s="28">
        <f>VLOOKUP($A9,'All LKO plans'!$A$3:$AG$29,P$30+1)</f>
        <v>3</v>
      </c>
      <c r="Q9" s="5">
        <f>VLOOKUP($A9,'All LKO plans'!$A$3:$AG$29,Q$30+1)</f>
        <v>867.18</v>
      </c>
      <c r="R9" s="5">
        <f>VLOOKUP($A9,'All LKO plans'!$A$3:$AG$29,R$30+1)</f>
        <v>921.25</v>
      </c>
      <c r="S9" s="92">
        <f>VLOOKUP($A9,'All LKO plans'!$A$3:$AG$29,S$30+1)</f>
        <v>1.0623515302474689</v>
      </c>
      <c r="T9" s="150">
        <f>VLOOKUP($A9,'All LKO plans'!$A$3:$AG$29,T$30+1)</f>
        <v>0.17250000000000001</v>
      </c>
      <c r="U9" s="149">
        <f t="shared" si="1"/>
        <v>5.7500000000000002E-2</v>
      </c>
      <c r="V9" s="71">
        <f t="shared" si="2"/>
        <v>5.4478227797437384E-2</v>
      </c>
      <c r="W9" s="31">
        <f>VLOOKUP($A9,'All LKO plans'!$A$3:$AG$29,W$30+1)</f>
        <v>0</v>
      </c>
      <c r="X9" s="31">
        <f>VLOOKUP($A9,'All LKO plans'!$A$3:$AG$29,X$30+1)</f>
        <v>1</v>
      </c>
      <c r="Y9" s="31">
        <f>VLOOKUP($A9,'All LKO plans'!$A$3:$AG$29,Y$30+1)</f>
        <v>0</v>
      </c>
      <c r="Z9" s="31" t="str">
        <f>VLOOKUP($A9,'All LKO plans'!$A$3:$AG$29,Z$30+1)</f>
        <v>Daily / No charge</v>
      </c>
      <c r="AA9" s="98">
        <f>VLOOKUP($A9,'All LKO plans'!$A$3:$AG$29,AA$30+1)</f>
        <v>0.33476635514018693</v>
      </c>
      <c r="AB9" s="104">
        <f>VLOOKUP($A9,'All LKO plans'!$A$3:$AG$29,AB$30+1)</f>
        <v>-0.16226635514018692</v>
      </c>
      <c r="AC9" s="106">
        <f>VLOOKUP($A9,'All LKO plans'!$A$3:$AG$29,AC$30+1)</f>
        <v>-5.7310537288712604E-2</v>
      </c>
      <c r="AD9" s="101">
        <f>VLOOKUP($A9,'All LKO plans'!$A$3:$AG$29,AD$30+1)</f>
        <v>6.2351530247468867E-2</v>
      </c>
      <c r="AE9" s="50">
        <f>VLOOKUP($A9,'All LKO plans'!$A$3:$AG$29,AE$30+1)</f>
        <v>0.76235153024746882</v>
      </c>
      <c r="AF9" s="72">
        <f>VLOOKUP($A9,'All LKO plans'!$A$3:$AG$29,AF$30+1)</f>
        <v>0.57500000000000007</v>
      </c>
      <c r="AG9" s="35">
        <f>VLOOKUP($A9,'All LKO plans'!$A$3:$AG$29,AG$30+1)</f>
        <v>0.76235153024746882</v>
      </c>
      <c r="AI9">
        <f>VLOOKUP($A9,'All LKO plans'!$A$3:$AI$106,28)</f>
        <v>-0.16226635514018692</v>
      </c>
    </row>
    <row r="10" spans="1:37" x14ac:dyDescent="0.35">
      <c r="A10" s="25">
        <v>24</v>
      </c>
      <c r="B10" s="179" t="s">
        <v>102</v>
      </c>
      <c r="C10" s="167" t="s">
        <v>74</v>
      </c>
      <c r="D10" s="167" t="s">
        <v>93</v>
      </c>
      <c r="E10" s="167" t="s">
        <v>44</v>
      </c>
      <c r="F10" s="302">
        <v>44001</v>
      </c>
      <c r="G10" s="305">
        <f t="shared" si="0"/>
        <v>45096</v>
      </c>
      <c r="H10" s="40">
        <v>867.18</v>
      </c>
      <c r="I10" s="1">
        <v>0.3</v>
      </c>
      <c r="J10" s="3">
        <f>VLOOKUP($A10,'All LKO plans'!$A$3:$AG$29,J$30+1)</f>
        <v>0.7</v>
      </c>
      <c r="K10" s="83">
        <f>VLOOKUP($A10,'All LKO plans'!$A$3:$AG$29,K$30+1)</f>
        <v>260.154</v>
      </c>
      <c r="L10" s="89">
        <f>VLOOKUP($A10,'All LKO plans'!$A$3:$AG$29,L$30+1)</f>
        <v>0.1125</v>
      </c>
      <c r="M10" s="86">
        <f>VLOOKUP($A10,'All LKO plans'!$A$3:$AG$29,M$30+1)</f>
        <v>1</v>
      </c>
      <c r="N10" s="1" t="str">
        <f>VLOOKUP($A10,'All LKO plans'!$A$3:$AG$29,N$30+1)</f>
        <v>100%, 95%, 90%, 85%, 80%, 75%, 70%, 65%</v>
      </c>
      <c r="O10" s="3">
        <f>VLOOKUP($A10,'All LKO plans'!$A$3:$AG$29,O$30+1)</f>
        <v>0.65</v>
      </c>
      <c r="P10" s="28">
        <f>VLOOKUP($A10,'All LKO plans'!$A$3:$AG$29,P$30+1)</f>
        <v>3</v>
      </c>
      <c r="Q10" s="5">
        <f>VLOOKUP($A10,'All LKO plans'!$A$3:$AG$29,Q$30+1)</f>
        <v>867.18</v>
      </c>
      <c r="R10" s="5">
        <f>VLOOKUP($A10,'All LKO plans'!$A$3:$AG$29,R$30+1)</f>
        <v>921.25</v>
      </c>
      <c r="S10" s="92">
        <f>VLOOKUP($A10,'All LKO plans'!$A$3:$AG$29,S$30+1)</f>
        <v>1.0623515302474689</v>
      </c>
      <c r="T10" s="150">
        <f>VLOOKUP($A10,'All LKO plans'!$A$3:$AG$29,T$30+1)</f>
        <v>0.33750000000000002</v>
      </c>
      <c r="U10" s="149">
        <f t="shared" si="1"/>
        <v>0.1125</v>
      </c>
      <c r="V10" s="71">
        <f t="shared" si="2"/>
        <v>0.1017877266108127</v>
      </c>
      <c r="W10" s="31">
        <f>VLOOKUP($A10,'All LKO plans'!$A$3:$AG$29,W$30+1)</f>
        <v>0</v>
      </c>
      <c r="X10" s="31">
        <f>VLOOKUP($A10,'All LKO plans'!$A$3:$AG$29,X$30+1)</f>
        <v>1</v>
      </c>
      <c r="Y10" s="31">
        <f>VLOOKUP($A10,'All LKO plans'!$A$3:$AG$29,Y$30+1)</f>
        <v>0</v>
      </c>
      <c r="Z10" s="31" t="str">
        <f>VLOOKUP($A10,'All LKO plans'!$A$3:$AG$29,Z$30+1)</f>
        <v>Daily / No charge</v>
      </c>
      <c r="AA10" s="98">
        <f>VLOOKUP($A10,'All LKO plans'!$A$3:$AG$29,AA$30+1)</f>
        <v>0.33476635514018693</v>
      </c>
      <c r="AB10" s="104">
        <f>VLOOKUP($A10,'All LKO plans'!$A$3:$AG$29,AB$30+1)</f>
        <v>2.7336448598130891E-3</v>
      </c>
      <c r="AC10" s="106">
        <f>VLOOKUP($A10,'All LKO plans'!$A$3:$AG$29,AC$30+1)</f>
        <v>9.1038589927538993E-4</v>
      </c>
      <c r="AD10" s="101">
        <f>VLOOKUP($A10,'All LKO plans'!$A$3:$AG$29,AD$30+1)</f>
        <v>6.2351530247468867E-2</v>
      </c>
      <c r="AE10" s="50">
        <f>VLOOKUP($A10,'All LKO plans'!$A$3:$AG$29,AE$30+1)</f>
        <v>0.41235153024746884</v>
      </c>
      <c r="AF10" s="72">
        <f>VLOOKUP($A10,'All LKO plans'!$A$3:$AG$29,AF$30+1)</f>
        <v>1.125</v>
      </c>
      <c r="AG10" s="35">
        <f>VLOOKUP($A10,'All LKO plans'!$A$3:$AG$29,AG$30+1)</f>
        <v>0.76235153024746882</v>
      </c>
      <c r="AI10">
        <f>VLOOKUP($A10,'All LKO plans'!$A$3:$AI$106,28)</f>
        <v>2.7336448598130891E-3</v>
      </c>
    </row>
    <row r="11" spans="1:37" x14ac:dyDescent="0.35">
      <c r="A11" s="25">
        <v>26</v>
      </c>
      <c r="B11" s="180" t="s">
        <v>104</v>
      </c>
      <c r="C11" s="170" t="s">
        <v>74</v>
      </c>
      <c r="D11" s="167" t="s">
        <v>93</v>
      </c>
      <c r="E11" s="167" t="s">
        <v>44</v>
      </c>
      <c r="F11" s="302">
        <v>44001</v>
      </c>
      <c r="G11" s="305">
        <f t="shared" si="0"/>
        <v>45096</v>
      </c>
      <c r="H11" s="40">
        <v>867.18</v>
      </c>
      <c r="I11" s="1">
        <v>0.4</v>
      </c>
      <c r="J11" s="3">
        <f>VLOOKUP($A11,'All LKO plans'!$A$3:$AG$29,J$30+1)</f>
        <v>0.6</v>
      </c>
      <c r="K11" s="83">
        <f>VLOOKUP($A11,'All LKO plans'!$A$3:$AG$29,K$30+1)</f>
        <v>346.87200000000001</v>
      </c>
      <c r="L11" s="89">
        <f>VLOOKUP($A11,'All LKO plans'!$A$3:$AG$29,L$30+1)</f>
        <v>0.1075</v>
      </c>
      <c r="M11" s="86">
        <f>VLOOKUP($A11,'All LKO plans'!$A$3:$AG$29,M$30+1)</f>
        <v>1</v>
      </c>
      <c r="N11" s="1" t="str">
        <f>VLOOKUP($A11,'All LKO plans'!$A$3:$AG$29,N$30+1)</f>
        <v>100%, 95%, 90%, 85%, 80%, 75%, 70%, 65%</v>
      </c>
      <c r="O11" s="3">
        <f>VLOOKUP($A11,'All LKO plans'!$A$3:$AG$29,O$30+1)</f>
        <v>0.65</v>
      </c>
      <c r="P11" s="28">
        <f>VLOOKUP($A11,'All LKO plans'!$A$3:$AG$29,P$30+1)</f>
        <v>3</v>
      </c>
      <c r="Q11" s="5">
        <f>VLOOKUP($A11,'All LKO plans'!$A$3:$AG$29,Q$30+1)</f>
        <v>867.18</v>
      </c>
      <c r="R11" s="5">
        <f>VLOOKUP($A11,'All LKO plans'!$A$3:$AG$29,R$30+1)</f>
        <v>921.25</v>
      </c>
      <c r="S11" s="92">
        <f>VLOOKUP($A11,'All LKO plans'!$A$3:$AG$29,S$30+1)</f>
        <v>1.0623515302474689</v>
      </c>
      <c r="T11" s="150">
        <f>VLOOKUP($A11,'All LKO plans'!$A$3:$AG$29,T$30+1)</f>
        <v>0.32250000000000001</v>
      </c>
      <c r="U11" s="149">
        <f t="shared" si="1"/>
        <v>0.1075</v>
      </c>
      <c r="V11" s="71">
        <f t="shared" si="2"/>
        <v>9.7653399825005982E-2</v>
      </c>
      <c r="W11" s="31">
        <f>VLOOKUP($A11,'All LKO plans'!$A$3:$AG$29,W$30+1)</f>
        <v>0</v>
      </c>
      <c r="X11" s="31">
        <f>VLOOKUP($A11,'All LKO plans'!$A$3:$AG$29,X$30+1)</f>
        <v>1</v>
      </c>
      <c r="Y11" s="31">
        <f>VLOOKUP($A11,'All LKO plans'!$A$3:$AG$29,Y$30+1)</f>
        <v>0</v>
      </c>
      <c r="Z11" s="31" t="str">
        <f>VLOOKUP($A11,'All LKO plans'!$A$3:$AG$29,Z$30+1)</f>
        <v>Daily / No charge</v>
      </c>
      <c r="AA11" s="98">
        <f>VLOOKUP($A11,'All LKO plans'!$A$3:$AG$29,AA$30+1)</f>
        <v>0.33476635514018693</v>
      </c>
      <c r="AB11" s="104">
        <f>VLOOKUP($A11,'All LKO plans'!$A$3:$AG$29,AB$30+1)</f>
        <v>-1.2266355140186924E-2</v>
      </c>
      <c r="AC11" s="106">
        <f>VLOOKUP($A11,'All LKO plans'!$A$3:$AG$29,AC$30+1)</f>
        <v>-4.1056180782977902E-3</v>
      </c>
      <c r="AD11" s="101">
        <f>VLOOKUP($A11,'All LKO plans'!$A$3:$AG$29,AD$30+1)</f>
        <v>6.2351530247468867E-2</v>
      </c>
      <c r="AE11" s="50">
        <f>VLOOKUP($A11,'All LKO plans'!$A$3:$AG$29,AE$30+1)</f>
        <v>0.41235153024746884</v>
      </c>
      <c r="AF11" s="72">
        <f>VLOOKUP($A11,'All LKO plans'!$A$3:$AG$29,AF$30+1)</f>
        <v>1.075</v>
      </c>
      <c r="AG11" s="35">
        <f>VLOOKUP($A11,'All LKO plans'!$A$3:$AG$29,AG$30+1)</f>
        <v>0.66235153024746884</v>
      </c>
      <c r="AI11">
        <f>VLOOKUP($A11,'All LKO plans'!$A$3:$AI$106,28)</f>
        <v>-1.2266355140186924E-2</v>
      </c>
    </row>
    <row r="12" spans="1:37" x14ac:dyDescent="0.35">
      <c r="A12" s="25">
        <v>28</v>
      </c>
      <c r="B12" s="180" t="s">
        <v>106</v>
      </c>
      <c r="C12" s="167" t="s">
        <v>74</v>
      </c>
      <c r="D12" s="167" t="s">
        <v>93</v>
      </c>
      <c r="E12" s="167" t="s">
        <v>44</v>
      </c>
      <c r="F12" s="302">
        <v>44008</v>
      </c>
      <c r="G12" s="305">
        <f t="shared" si="0"/>
        <v>45103</v>
      </c>
      <c r="H12" s="40">
        <v>847.86</v>
      </c>
      <c r="I12" s="1">
        <v>0.4</v>
      </c>
      <c r="J12" s="3">
        <f>1-I12</f>
        <v>0.6</v>
      </c>
      <c r="K12" s="83">
        <f>H12*I12</f>
        <v>339.14400000000001</v>
      </c>
      <c r="L12" s="89">
        <v>0.104</v>
      </c>
      <c r="M12" s="86">
        <v>1</v>
      </c>
      <c r="N12" s="1" t="s">
        <v>79</v>
      </c>
      <c r="O12" s="3">
        <v>0.65</v>
      </c>
      <c r="P12" s="28">
        <v>3</v>
      </c>
      <c r="Q12" s="5">
        <f>M12*H12</f>
        <v>847.86</v>
      </c>
      <c r="R12" s="5">
        <v>898.05</v>
      </c>
      <c r="S12" s="92">
        <f>R12/H12</f>
        <v>1.0591960936947136</v>
      </c>
      <c r="T12" s="150">
        <f>L12*3</f>
        <v>0.312</v>
      </c>
      <c r="U12" s="149">
        <f t="shared" si="1"/>
        <v>0.104</v>
      </c>
      <c r="V12" s="71">
        <f t="shared" si="2"/>
        <v>9.4740734959685602E-2</v>
      </c>
      <c r="W12" s="31">
        <v>0</v>
      </c>
      <c r="X12" s="31">
        <f>IF(T12&gt;0,1,R12/H12)</f>
        <v>1</v>
      </c>
      <c r="Y12" s="31">
        <v>0</v>
      </c>
      <c r="Z12" s="31" t="s">
        <v>76</v>
      </c>
      <c r="AA12" s="98">
        <v>0.33960000000000001</v>
      </c>
      <c r="AB12" s="104">
        <f>T12-AA12</f>
        <v>-2.7600000000000013E-2</v>
      </c>
      <c r="AC12" s="106">
        <f>(((1+AB12)/1)^(1/3)-1)</f>
        <v>-9.2859621870378106E-3</v>
      </c>
      <c r="AD12" s="101">
        <f>S12-M12</f>
        <v>5.919609369471357E-2</v>
      </c>
      <c r="AE12" s="50">
        <f>S12-O12</f>
        <v>0.40919609369471355</v>
      </c>
      <c r="AF12" s="72">
        <f>T12/P12*10</f>
        <v>1.04</v>
      </c>
      <c r="AG12" s="35">
        <f>S12-I12</f>
        <v>0.65919609369471355</v>
      </c>
      <c r="AI12">
        <f>VLOOKUP($A12,'All LKO plans'!$A$3:$AI$106,28)</f>
        <v>-2.7600000000000013E-2</v>
      </c>
    </row>
    <row r="13" spans="1:37" x14ac:dyDescent="0.35">
      <c r="A13" s="25">
        <v>30</v>
      </c>
      <c r="B13" s="180" t="s">
        <v>108</v>
      </c>
      <c r="C13" s="167" t="s">
        <v>74</v>
      </c>
      <c r="D13" s="167" t="s">
        <v>93</v>
      </c>
      <c r="E13" s="167" t="s">
        <v>44</v>
      </c>
      <c r="F13" s="302">
        <v>44043</v>
      </c>
      <c r="G13" s="305">
        <f t="shared" si="0"/>
        <v>45138</v>
      </c>
      <c r="H13" s="40">
        <v>829.83</v>
      </c>
      <c r="I13" s="1">
        <v>0.4</v>
      </c>
      <c r="J13" s="1">
        <f t="shared" ref="J13:J18" si="3">1-I13</f>
        <v>0.6</v>
      </c>
      <c r="K13" s="84">
        <f>H13*I13</f>
        <v>331.93200000000002</v>
      </c>
      <c r="L13" s="90">
        <v>5.2499999999999998E-2</v>
      </c>
      <c r="M13" s="87">
        <v>1</v>
      </c>
      <c r="N13" s="1" t="s">
        <v>109</v>
      </c>
      <c r="O13" s="1">
        <v>0.4</v>
      </c>
      <c r="P13" s="29">
        <v>3</v>
      </c>
      <c r="Q13" s="5">
        <f>M13*H13</f>
        <v>829.83</v>
      </c>
      <c r="R13" s="5">
        <v>950.45</v>
      </c>
      <c r="S13" s="93">
        <f>R13/H13</f>
        <v>1.1453550727257391</v>
      </c>
      <c r="T13" s="150">
        <f>L13*3</f>
        <v>0.1575</v>
      </c>
      <c r="U13" s="149">
        <f>T13/3</f>
        <v>5.2499999999999998E-2</v>
      </c>
      <c r="V13" s="71">
        <f>(((1+(U13*P13))/1)^(1/P13)-1)</f>
        <v>4.9962205744694232E-2</v>
      </c>
      <c r="W13" s="95">
        <v>0</v>
      </c>
      <c r="X13" s="32">
        <f>IF(V13&gt;0,1,R13/H13)</f>
        <v>1</v>
      </c>
      <c r="Y13" s="32">
        <v>0</v>
      </c>
      <c r="Z13" s="54" t="s">
        <v>76</v>
      </c>
      <c r="AA13" s="99">
        <v>0.45800000000000002</v>
      </c>
      <c r="AB13" s="104">
        <f t="shared" ref="AB13:AB16" si="4">T13-AA13</f>
        <v>-0.30049999999999999</v>
      </c>
      <c r="AC13" s="106">
        <f t="shared" ref="AC13:AC16" si="5">(((1+AB13)/1)^(1/3)-1)</f>
        <v>-0.11230745432677747</v>
      </c>
      <c r="AD13" s="102">
        <f t="shared" ref="AD13:AD16" si="6">S13-M13</f>
        <v>0.14535507272573911</v>
      </c>
      <c r="AE13" s="51">
        <f t="shared" ref="AE13:AE14" si="7">S13-O13</f>
        <v>0.74535507272573909</v>
      </c>
      <c r="AF13" s="51">
        <f t="shared" ref="AF13:AF14" si="8">T13/P13*10</f>
        <v>0.52500000000000002</v>
      </c>
      <c r="AG13" s="35">
        <f t="shared" ref="AG13:AG16" si="9">S13-I13</f>
        <v>0.74535507272573909</v>
      </c>
      <c r="AI13" s="58"/>
      <c r="AK13" s="57"/>
    </row>
    <row r="14" spans="1:37" x14ac:dyDescent="0.35">
      <c r="A14" s="25">
        <v>31</v>
      </c>
      <c r="B14" s="180" t="s">
        <v>110</v>
      </c>
      <c r="C14" s="167" t="s">
        <v>74</v>
      </c>
      <c r="D14" s="167" t="s">
        <v>93</v>
      </c>
      <c r="E14" s="167" t="s">
        <v>44</v>
      </c>
      <c r="F14" s="302">
        <v>44043</v>
      </c>
      <c r="G14" s="305">
        <f t="shared" si="0"/>
        <v>45138</v>
      </c>
      <c r="H14" s="40">
        <v>829.83</v>
      </c>
      <c r="I14" s="1">
        <v>0.4</v>
      </c>
      <c r="J14" s="1">
        <f t="shared" si="3"/>
        <v>0.6</v>
      </c>
      <c r="K14" s="84">
        <f t="shared" ref="K14:K18" si="10">H14*I14</f>
        <v>331.93200000000002</v>
      </c>
      <c r="L14" s="90">
        <v>9.2499999999999999E-2</v>
      </c>
      <c r="M14" s="87">
        <v>1</v>
      </c>
      <c r="N14" s="1" t="s">
        <v>79</v>
      </c>
      <c r="O14" s="1">
        <v>0.65</v>
      </c>
      <c r="P14" s="29">
        <v>3</v>
      </c>
      <c r="Q14" s="5">
        <f t="shared" ref="Q14:Q16" si="11">M14*H14</f>
        <v>829.83</v>
      </c>
      <c r="R14" s="5">
        <v>950.45</v>
      </c>
      <c r="S14" s="93">
        <f t="shared" ref="S14:S18" si="12">R14/H14</f>
        <v>1.1453550727257391</v>
      </c>
      <c r="T14" s="150">
        <f t="shared" ref="T14:T16" si="13">L14*3</f>
        <v>0.27749999999999997</v>
      </c>
      <c r="U14" s="149">
        <f t="shared" ref="U14:U16" si="14">T14/3</f>
        <v>9.2499999999999985E-2</v>
      </c>
      <c r="V14" s="71">
        <f t="shared" ref="V14:V16" si="15">(((1+(U14*P14))/1)^(1/P14)-1)</f>
        <v>8.5059706342234032E-2</v>
      </c>
      <c r="W14" s="95">
        <v>0</v>
      </c>
      <c r="X14" s="32">
        <f>IF(V14&gt;0,1,R14/H14)</f>
        <v>1</v>
      </c>
      <c r="Y14" s="32">
        <v>0</v>
      </c>
      <c r="Z14" s="54" t="s">
        <v>76</v>
      </c>
      <c r="AA14" s="99">
        <v>0.45800000000000002</v>
      </c>
      <c r="AB14" s="104">
        <f t="shared" si="4"/>
        <v>-0.18050000000000005</v>
      </c>
      <c r="AC14" s="106">
        <f t="shared" si="5"/>
        <v>-6.4200118268951112E-2</v>
      </c>
      <c r="AD14" s="102">
        <f t="shared" si="6"/>
        <v>0.14535507272573911</v>
      </c>
      <c r="AE14" s="51">
        <f t="shared" si="7"/>
        <v>0.49535507272573909</v>
      </c>
      <c r="AF14" s="51">
        <f t="shared" si="8"/>
        <v>0.92499999999999982</v>
      </c>
      <c r="AG14" s="35">
        <f t="shared" si="9"/>
        <v>0.74535507272573909</v>
      </c>
      <c r="AI14" s="58"/>
      <c r="AK14" s="57"/>
    </row>
    <row r="15" spans="1:37" x14ac:dyDescent="0.35">
      <c r="A15" s="25">
        <v>33</v>
      </c>
      <c r="B15" s="174" t="s">
        <v>113</v>
      </c>
      <c r="C15" s="167" t="s">
        <v>74</v>
      </c>
      <c r="D15" s="167" t="s">
        <v>93</v>
      </c>
      <c r="E15" s="167" t="s">
        <v>44</v>
      </c>
      <c r="F15" s="302">
        <v>44099</v>
      </c>
      <c r="G15" s="305">
        <f t="shared" si="0"/>
        <v>45194</v>
      </c>
      <c r="H15" s="40">
        <v>842.03</v>
      </c>
      <c r="I15" s="1">
        <v>0.4</v>
      </c>
      <c r="J15" s="1">
        <f t="shared" si="3"/>
        <v>0.6</v>
      </c>
      <c r="K15" s="84">
        <f t="shared" si="10"/>
        <v>336.81200000000001</v>
      </c>
      <c r="L15" s="90">
        <v>5.1999999999999998E-2</v>
      </c>
      <c r="M15" s="87">
        <v>1</v>
      </c>
      <c r="N15" s="1" t="s">
        <v>109</v>
      </c>
      <c r="O15" s="1">
        <v>0.4</v>
      </c>
      <c r="P15" s="29">
        <v>3</v>
      </c>
      <c r="Q15" s="5">
        <f t="shared" si="11"/>
        <v>842.03</v>
      </c>
      <c r="R15" s="5">
        <v>912.3</v>
      </c>
      <c r="S15" s="93">
        <f t="shared" si="12"/>
        <v>1.0834530836193486</v>
      </c>
      <c r="T15" s="150">
        <f t="shared" si="13"/>
        <v>0.156</v>
      </c>
      <c r="U15" s="149">
        <f t="shared" si="14"/>
        <v>5.1999999999999998E-2</v>
      </c>
      <c r="V15" s="71">
        <f t="shared" si="15"/>
        <v>4.9508462297634059E-2</v>
      </c>
      <c r="W15" s="95">
        <v>0</v>
      </c>
      <c r="X15" s="32">
        <f t="shared" ref="X15:X16" si="16">IF(V15&gt;0,1,R15/H15)</f>
        <v>1</v>
      </c>
      <c r="Y15" s="32">
        <v>0</v>
      </c>
      <c r="Z15" s="54" t="s">
        <v>76</v>
      </c>
      <c r="AA15" s="99">
        <v>0.44540000000000002</v>
      </c>
      <c r="AB15" s="104">
        <f t="shared" si="4"/>
        <v>-0.28939999999999999</v>
      </c>
      <c r="AC15" s="106">
        <f t="shared" si="5"/>
        <v>-0.10763663111516375</v>
      </c>
      <c r="AD15" s="102">
        <f t="shared" si="6"/>
        <v>8.3453083619348556E-2</v>
      </c>
      <c r="AE15" s="51">
        <f>S15-O15</f>
        <v>0.68345308361934853</v>
      </c>
      <c r="AF15" s="51">
        <f>T15/P15*10</f>
        <v>0.52</v>
      </c>
      <c r="AG15" s="35">
        <f t="shared" si="9"/>
        <v>0.68345308361934853</v>
      </c>
      <c r="AI15" s="58"/>
      <c r="AK15" s="57"/>
    </row>
    <row r="16" spans="1:37" x14ac:dyDescent="0.35">
      <c r="A16" s="25">
        <v>34</v>
      </c>
      <c r="B16" s="174" t="s">
        <v>114</v>
      </c>
      <c r="C16" s="167" t="s">
        <v>74</v>
      </c>
      <c r="D16" s="167" t="s">
        <v>93</v>
      </c>
      <c r="E16" s="167" t="s">
        <v>44</v>
      </c>
      <c r="F16" s="302">
        <v>44099</v>
      </c>
      <c r="G16" s="305">
        <f t="shared" si="0"/>
        <v>45194</v>
      </c>
      <c r="H16" s="40">
        <v>842.03</v>
      </c>
      <c r="I16" s="1">
        <v>0.4</v>
      </c>
      <c r="J16" s="1">
        <f t="shared" si="3"/>
        <v>0.6</v>
      </c>
      <c r="K16" s="84">
        <f t="shared" si="10"/>
        <v>336.81200000000001</v>
      </c>
      <c r="L16" s="90">
        <v>9.4500000000000001E-2</v>
      </c>
      <c r="M16" s="87">
        <v>1</v>
      </c>
      <c r="N16" s="1" t="s">
        <v>79</v>
      </c>
      <c r="O16" s="1">
        <v>0.65</v>
      </c>
      <c r="P16" s="29">
        <v>3</v>
      </c>
      <c r="Q16" s="5">
        <f t="shared" si="11"/>
        <v>842.03</v>
      </c>
      <c r="R16" s="5">
        <v>912.3</v>
      </c>
      <c r="S16" s="93">
        <f t="shared" si="12"/>
        <v>1.0834530836193486</v>
      </c>
      <c r="T16" s="150">
        <f t="shared" si="13"/>
        <v>0.28349999999999997</v>
      </c>
      <c r="U16" s="149">
        <f t="shared" si="14"/>
        <v>9.4499999999999987E-2</v>
      </c>
      <c r="V16" s="71">
        <f t="shared" si="15"/>
        <v>8.6755777420617131E-2</v>
      </c>
      <c r="W16" s="95">
        <v>0</v>
      </c>
      <c r="X16" s="32">
        <f t="shared" si="16"/>
        <v>1</v>
      </c>
      <c r="Y16" s="32">
        <v>0</v>
      </c>
      <c r="Z16" s="54" t="s">
        <v>76</v>
      </c>
      <c r="AA16" s="99">
        <v>0.44540000000000002</v>
      </c>
      <c r="AB16" s="104">
        <f t="shared" si="4"/>
        <v>-0.16190000000000004</v>
      </c>
      <c r="AC16" s="106">
        <f t="shared" si="5"/>
        <v>-5.7173139282075791E-2</v>
      </c>
      <c r="AD16" s="102">
        <f t="shared" si="6"/>
        <v>8.3453083619348556E-2</v>
      </c>
      <c r="AE16" s="51">
        <f t="shared" ref="AE16" si="17">S16-O16</f>
        <v>0.43345308361934853</v>
      </c>
      <c r="AF16" s="51">
        <f>T16/P16*10</f>
        <v>0.94499999999999984</v>
      </c>
      <c r="AG16" s="35">
        <f t="shared" si="9"/>
        <v>0.68345308361934853</v>
      </c>
      <c r="AI16" s="58"/>
      <c r="AK16" s="57"/>
    </row>
    <row r="17" spans="1:37" x14ac:dyDescent="0.35">
      <c r="A17" s="25">
        <v>39</v>
      </c>
      <c r="B17" s="177" t="s">
        <v>119</v>
      </c>
      <c r="C17" s="167" t="s">
        <v>74</v>
      </c>
      <c r="D17" s="169" t="s">
        <v>75</v>
      </c>
      <c r="E17" s="167" t="s">
        <v>44</v>
      </c>
      <c r="F17" s="313">
        <v>43581</v>
      </c>
      <c r="G17" s="305">
        <v>45408</v>
      </c>
      <c r="H17" s="40">
        <v>1014.15</v>
      </c>
      <c r="I17" s="1">
        <v>0.6</v>
      </c>
      <c r="J17" s="3">
        <f t="shared" si="3"/>
        <v>0.4</v>
      </c>
      <c r="K17" s="83">
        <f t="shared" si="10"/>
        <v>608.49</v>
      </c>
      <c r="L17" s="89">
        <v>7.2499999999999995E-2</v>
      </c>
      <c r="M17" s="86">
        <v>1</v>
      </c>
      <c r="N17" s="1" t="s">
        <v>79</v>
      </c>
      <c r="O17" s="3">
        <v>0.65</v>
      </c>
      <c r="P17" s="28">
        <v>5</v>
      </c>
      <c r="Q17" s="5">
        <f>M17*H17</f>
        <v>1014.15</v>
      </c>
      <c r="R17" s="5">
        <v>963.92</v>
      </c>
      <c r="S17" s="92">
        <f t="shared" si="12"/>
        <v>0.95047083764729079</v>
      </c>
      <c r="T17" s="150">
        <v>0.36249999999999999</v>
      </c>
      <c r="U17" s="149">
        <f>T17/P17</f>
        <v>7.2499999999999995E-2</v>
      </c>
      <c r="V17" s="71">
        <f>(((1+(U17*P17))/1)^(1/P17)-1)</f>
        <v>6.3817921122524268E-2</v>
      </c>
      <c r="W17" s="31">
        <v>0</v>
      </c>
      <c r="X17" s="31">
        <v>1</v>
      </c>
      <c r="Y17" s="31">
        <v>0</v>
      </c>
      <c r="Z17" s="31" t="s">
        <v>76</v>
      </c>
      <c r="AA17" s="98">
        <v>0.31709999999999999</v>
      </c>
      <c r="AB17" s="104">
        <f>T17-AA17</f>
        <v>4.5399999999999996E-2</v>
      </c>
      <c r="AC17" s="106">
        <f>(((1+AB17)/1)^(1/P17)-1)</f>
        <v>8.9194608871721037E-3</v>
      </c>
      <c r="AD17" s="101">
        <f>S17-0.9</f>
        <v>5.0470837647290767E-2</v>
      </c>
      <c r="AE17" s="50">
        <f>S17-O17</f>
        <v>0.30047083764729077</v>
      </c>
      <c r="AF17" s="72">
        <f t="shared" ref="AF17" si="18">T17/P17*10</f>
        <v>0.72499999999999998</v>
      </c>
      <c r="AG17" s="35">
        <f>S17-I17</f>
        <v>0.35047083764729081</v>
      </c>
    </row>
    <row r="18" spans="1:37" x14ac:dyDescent="0.35">
      <c r="A18" s="123">
        <v>40</v>
      </c>
      <c r="B18" s="282" t="s">
        <v>172</v>
      </c>
      <c r="C18" s="287" t="s">
        <v>74</v>
      </c>
      <c r="D18" s="169" t="s">
        <v>75</v>
      </c>
      <c r="E18" s="167" t="s">
        <v>44</v>
      </c>
      <c r="F18" s="313">
        <v>43644</v>
      </c>
      <c r="G18" s="305">
        <f t="shared" ref="G18" si="19">EDATE(F18,36)</f>
        <v>44740</v>
      </c>
      <c r="H18" s="40">
        <v>991.63</v>
      </c>
      <c r="I18" s="1">
        <v>0.6</v>
      </c>
      <c r="J18" s="3">
        <f t="shared" si="3"/>
        <v>0.4</v>
      </c>
      <c r="K18" s="84">
        <f t="shared" si="10"/>
        <v>594.97799999999995</v>
      </c>
      <c r="L18" s="90">
        <v>7.3999999999999996E-2</v>
      </c>
      <c r="M18" s="87">
        <v>0.9</v>
      </c>
      <c r="N18" s="1" t="s">
        <v>79</v>
      </c>
      <c r="O18" s="126">
        <v>0.65</v>
      </c>
      <c r="P18" s="128">
        <v>5</v>
      </c>
      <c r="Q18" s="125">
        <f>M18*H18</f>
        <v>892.46699999999998</v>
      </c>
      <c r="R18" s="125">
        <v>970.62</v>
      </c>
      <c r="S18" s="129">
        <f t="shared" si="12"/>
        <v>0.9788126619807791</v>
      </c>
      <c r="T18" s="153">
        <v>0.37</v>
      </c>
      <c r="U18" s="149">
        <f>T18/P18</f>
        <v>7.3999999999999996E-2</v>
      </c>
      <c r="V18" s="71">
        <f>(((1+(U18*P18))/1)^(1/P18)-1)</f>
        <v>6.498652656427617E-2</v>
      </c>
      <c r="W18" s="95">
        <v>0</v>
      </c>
      <c r="X18" s="32">
        <v>1</v>
      </c>
      <c r="Y18" s="32">
        <v>0</v>
      </c>
      <c r="Z18" s="54" t="s">
        <v>76</v>
      </c>
      <c r="AA18" s="99">
        <v>0.31969999999999998</v>
      </c>
      <c r="AB18" s="104">
        <f>T18-AA18</f>
        <v>5.0300000000000011E-2</v>
      </c>
      <c r="AC18" s="106">
        <f>(((1+AB18)/1)^(1/P18)-1)</f>
        <v>9.8634942684039384E-3</v>
      </c>
      <c r="AD18" s="102">
        <f>S18-90%</f>
        <v>7.8812661980779075E-2</v>
      </c>
      <c r="AE18" s="133">
        <f>S18-O18</f>
        <v>0.32881266198077908</v>
      </c>
      <c r="AF18" s="294">
        <f>T18/P18*10</f>
        <v>0.74</v>
      </c>
      <c r="AG18" s="134">
        <f>S18-I18</f>
        <v>0.37881266198077912</v>
      </c>
      <c r="AI18" s="58"/>
      <c r="AK18" s="57"/>
    </row>
    <row r="19" spans="1:37" ht="15" hidden="1" thickBot="1" x14ac:dyDescent="0.4">
      <c r="A19" s="123"/>
      <c r="B19" s="141"/>
      <c r="C19" s="171"/>
      <c r="D19" s="171"/>
      <c r="E19" s="171"/>
      <c r="F19" s="137"/>
      <c r="G19" s="322"/>
      <c r="H19" s="125"/>
      <c r="I19" s="126"/>
      <c r="J19" s="126"/>
      <c r="K19" s="19"/>
      <c r="L19" s="139"/>
      <c r="M19" s="126"/>
      <c r="N19" s="126"/>
      <c r="O19" s="126"/>
      <c r="P19" s="128"/>
      <c r="Q19" s="125"/>
      <c r="R19" s="125"/>
      <c r="S19" s="129"/>
      <c r="T19" s="108"/>
      <c r="U19" s="138"/>
      <c r="V19" s="138"/>
      <c r="W19" s="130"/>
      <c r="X19" s="130"/>
      <c r="Y19" s="130"/>
      <c r="Z19" s="53"/>
      <c r="AA19" s="131"/>
      <c r="AB19" s="140"/>
      <c r="AC19" s="308"/>
      <c r="AD19" s="133"/>
      <c r="AE19" s="133"/>
      <c r="AF19" s="136"/>
      <c r="AG19" s="134"/>
    </row>
    <row r="20" spans="1:37" ht="15" thickBot="1" x14ac:dyDescent="0.4">
      <c r="A20" s="26">
        <v>41</v>
      </c>
      <c r="B20" s="175" t="s">
        <v>174</v>
      </c>
      <c r="C20" s="291" t="s">
        <v>74</v>
      </c>
      <c r="D20" s="167" t="s">
        <v>93</v>
      </c>
      <c r="E20" s="286" t="s">
        <v>44</v>
      </c>
      <c r="F20" s="321">
        <v>43707</v>
      </c>
      <c r="G20" s="316">
        <f>EDATE(F20,60)</f>
        <v>45534</v>
      </c>
      <c r="H20" s="40">
        <v>964.28</v>
      </c>
      <c r="I20" s="1">
        <v>0.6</v>
      </c>
      <c r="J20" s="1">
        <f t="shared" ref="J20" si="20">1-I20</f>
        <v>0.4</v>
      </c>
      <c r="K20" s="84">
        <f t="shared" ref="K20" si="21">H20*I20</f>
        <v>578.56799999999998</v>
      </c>
      <c r="L20" s="319">
        <f>0.252/3</f>
        <v>8.4000000000000005E-2</v>
      </c>
      <c r="M20" s="87">
        <v>0.9</v>
      </c>
      <c r="N20" s="1" t="s">
        <v>79</v>
      </c>
      <c r="O20" s="1">
        <v>0.65</v>
      </c>
      <c r="P20" s="29">
        <v>5</v>
      </c>
      <c r="Q20" s="5">
        <f t="shared" ref="Q20" si="22">ROUNDUP(M20*H20,2)</f>
        <v>867.86</v>
      </c>
      <c r="R20" s="5">
        <v>998.56</v>
      </c>
      <c r="S20" s="93">
        <f t="shared" ref="S20" si="23">R20/H20</f>
        <v>1.0355498402953498</v>
      </c>
      <c r="T20" s="153">
        <f>L20*P20</f>
        <v>0.42000000000000004</v>
      </c>
      <c r="U20" s="149">
        <f t="shared" ref="U20" si="24">T20/P20</f>
        <v>8.4000000000000005E-2</v>
      </c>
      <c r="V20" s="71">
        <f t="shared" ref="V20" si="25">(((1+(U20*P20))/1)^(1/P20)-1)</f>
        <v>7.264909054577684E-2</v>
      </c>
      <c r="W20" s="95">
        <v>0</v>
      </c>
      <c r="X20" s="32">
        <v>1</v>
      </c>
      <c r="Y20" s="32">
        <v>0</v>
      </c>
      <c r="Z20" s="54" t="s">
        <v>76</v>
      </c>
      <c r="AA20" s="99">
        <f>166.02/119.32-1</f>
        <v>0.39138451223600423</v>
      </c>
      <c r="AB20" s="104">
        <f t="shared" ref="AB20" si="26">T20-AA20</f>
        <v>2.8615487763995806E-2</v>
      </c>
      <c r="AC20" s="107">
        <f t="shared" ref="AC20" si="27">(((1+AB20)/1)^(1/P20)-1)</f>
        <v>5.6586925322217319E-3</v>
      </c>
      <c r="AD20" s="102">
        <f t="shared" ref="AD20" si="28">S20-M20</f>
        <v>0.13554984029534978</v>
      </c>
      <c r="AE20" s="294">
        <f t="shared" ref="AE20" si="29">S20-O20</f>
        <v>0.38554984029534978</v>
      </c>
      <c r="AF20" s="51">
        <f t="shared" ref="AF20" si="30">T20/P20*10</f>
        <v>0.84000000000000008</v>
      </c>
      <c r="AG20" s="35">
        <f t="shared" ref="AG20" si="31">S20-I20</f>
        <v>0.43554984029534982</v>
      </c>
      <c r="AI20" s="58"/>
      <c r="AK20" s="57"/>
    </row>
    <row r="21" spans="1:37" ht="15" thickBot="1" x14ac:dyDescent="0.4">
      <c r="A21" s="20"/>
      <c r="B21" s="7" t="s">
        <v>120</v>
      </c>
      <c r="C21" s="7"/>
      <c r="D21" s="7"/>
      <c r="E21" s="7"/>
      <c r="F21" s="7"/>
      <c r="G21" s="13"/>
      <c r="H21" s="11"/>
      <c r="I21" s="2">
        <f>AVERAGE(I3:I20)</f>
        <v>0.49411764705882366</v>
      </c>
      <c r="J21" s="2">
        <f>AVERAGE(J3:J20)</f>
        <v>0.50588235294117634</v>
      </c>
      <c r="K21" s="76"/>
      <c r="L21" s="146">
        <f>AVERAGE(L3:L20)</f>
        <v>7.9205882352941195E-2</v>
      </c>
      <c r="M21" s="2">
        <f>AVERAGE(M3:M20)</f>
        <v>0.9882352941176471</v>
      </c>
      <c r="N21" s="6"/>
      <c r="O21" s="2">
        <f>AVERAGE(O3:O20)</f>
        <v>0.6000000000000002</v>
      </c>
      <c r="P21" s="309">
        <f>AVERAGE(P3:P20)</f>
        <v>3.3529411764705883</v>
      </c>
      <c r="Q21" s="11"/>
      <c r="R21" s="11">
        <f t="shared" ref="R21:Y21" si="32">AVERAGE(R3:R20)</f>
        <v>968.22411764705885</v>
      </c>
      <c r="S21" s="146">
        <f t="shared" si="32"/>
        <v>1.0801564519850715</v>
      </c>
      <c r="T21" s="64">
        <f t="shared" si="32"/>
        <v>0.26473529411764707</v>
      </c>
      <c r="U21" s="64">
        <f t="shared" si="32"/>
        <v>7.9205882352941195E-2</v>
      </c>
      <c r="V21" s="64">
        <f t="shared" si="32"/>
        <v>7.2647426183442762E-2</v>
      </c>
      <c r="W21" s="64">
        <f t="shared" si="32"/>
        <v>0</v>
      </c>
      <c r="X21" s="64">
        <f t="shared" si="32"/>
        <v>1</v>
      </c>
      <c r="Y21" s="64">
        <f t="shared" si="32"/>
        <v>0</v>
      </c>
      <c r="Z21" s="74"/>
      <c r="AA21" s="64">
        <f t="shared" ref="AA21:AG21" si="33">AVERAGE(AA3:AA20)</f>
        <v>0.33142844574450386</v>
      </c>
      <c r="AB21" s="64">
        <f t="shared" si="33"/>
        <v>-6.6693151626856795E-2</v>
      </c>
      <c r="AC21" s="64">
        <f t="shared" si="33"/>
        <v>-2.6244337085738506E-2</v>
      </c>
      <c r="AD21" s="64">
        <f t="shared" si="33"/>
        <v>9.7803510808601168E-2</v>
      </c>
      <c r="AE21" s="64">
        <f t="shared" si="33"/>
        <v>0.48015645198507179</v>
      </c>
      <c r="AF21" s="64">
        <f t="shared" si="33"/>
        <v>0.7920588235294117</v>
      </c>
      <c r="AG21" s="64">
        <f t="shared" si="33"/>
        <v>0.58603880492624827</v>
      </c>
    </row>
    <row r="22" spans="1:37" ht="15" thickBot="1" x14ac:dyDescent="0.4">
      <c r="T22" s="348" t="s">
        <v>121</v>
      </c>
      <c r="U22" s="339"/>
      <c r="V22" s="339"/>
      <c r="W22" s="339"/>
      <c r="X22" s="339"/>
      <c r="Y22" s="339"/>
      <c r="Z22" s="339"/>
      <c r="AA22" s="349"/>
      <c r="AB22" s="6">
        <f>MAX(AB3:AB20)</f>
        <v>0.15830000000000002</v>
      </c>
      <c r="AC22" s="46">
        <f>MAX(AC3:AC20)</f>
        <v>5.0204041979485359E-2</v>
      </c>
    </row>
    <row r="23" spans="1:37" ht="15" thickBot="1" x14ac:dyDescent="0.4">
      <c r="T23" s="348" t="s">
        <v>123</v>
      </c>
      <c r="U23" s="339"/>
      <c r="V23" s="339"/>
      <c r="W23" s="339"/>
      <c r="X23" s="339"/>
      <c r="Y23" s="339"/>
      <c r="Z23" s="339"/>
      <c r="AA23" s="349"/>
      <c r="AB23" s="47">
        <f>_xlfn.MINIFS(AB3:AB20,AB3:AB20,"&gt;0")</f>
        <v>6.9999999999997842E-4</v>
      </c>
      <c r="AC23" s="47">
        <f>_xlfn.MINIFS(AC3:AC20,AC3:AC20,"&gt;0")</f>
        <v>2.3327891005187062E-4</v>
      </c>
    </row>
    <row r="24" spans="1:37" ht="15" thickBot="1" x14ac:dyDescent="0.4">
      <c r="T24" s="341" t="s">
        <v>124</v>
      </c>
      <c r="U24" s="342"/>
      <c r="V24" s="342"/>
      <c r="W24" s="342"/>
      <c r="X24" s="342"/>
      <c r="Y24" s="342"/>
      <c r="Z24" s="342"/>
      <c r="AA24" s="342"/>
      <c r="AB24" s="145">
        <f>AVERAGEIF(AB3:AB20,"&gt;0",AB3:AB20)</f>
        <v>5.2243641577976105E-2</v>
      </c>
      <c r="AC24" s="145">
        <f>AVERAGEIF(AC3:AC20,"&gt;0",AC3:AC20)</f>
        <v>1.4823104978426732E-2</v>
      </c>
      <c r="AE24" s="142"/>
    </row>
    <row r="25" spans="1:37" x14ac:dyDescent="0.35">
      <c r="T25" s="350" t="s">
        <v>125</v>
      </c>
      <c r="U25" s="350"/>
      <c r="V25" s="350"/>
      <c r="W25" s="350"/>
      <c r="X25" s="350"/>
      <c r="Y25" s="350"/>
      <c r="Z25" s="350"/>
      <c r="AA25" s="350"/>
    </row>
    <row r="27" spans="1:37" x14ac:dyDescent="0.35">
      <c r="AB27" s="58"/>
      <c r="AC27" s="58"/>
    </row>
    <row r="30" spans="1:37" hidden="1" x14ac:dyDescent="0.35">
      <c r="B30">
        <f>MATCH(B2,'All LKO plans'!$B$2:$AG$2,0)</f>
        <v>1</v>
      </c>
      <c r="F30">
        <f>MATCH(F2,'All LKO plans'!$B$2:$AG$2,0)</f>
        <v>5</v>
      </c>
      <c r="G30">
        <f>MATCH(G2,'All LKO plans'!$B$2:$AG$2,0)</f>
        <v>6</v>
      </c>
      <c r="H30">
        <f>MATCH(H2,'All LKO plans'!$B$2:$AG$2,0)</f>
        <v>7</v>
      </c>
      <c r="I30">
        <f>MATCH(I2,'All LKO plans'!$B$2:$AG$2,0)</f>
        <v>8</v>
      </c>
      <c r="J30">
        <f>MATCH(J2,'All LKO plans'!$B$2:$AG$2,0)</f>
        <v>9</v>
      </c>
      <c r="K30">
        <f>MATCH(K2,'All LKO plans'!$B$2:$AG$2,0)</f>
        <v>10</v>
      </c>
      <c r="L30">
        <f>MATCH(L2,'All LKO plans'!$B$2:$AG$2,0)</f>
        <v>11</v>
      </c>
      <c r="M30">
        <f>MATCH(M2,'All LKO plans'!$B$2:$AG$2,0)</f>
        <v>12</v>
      </c>
      <c r="N30">
        <f>MATCH(N2,'All LKO plans'!$B$2:$AG$2,0)</f>
        <v>13</v>
      </c>
      <c r="O30">
        <f>MATCH(O2,'All LKO plans'!$B$2:$AG$2,0)</f>
        <v>14</v>
      </c>
      <c r="P30">
        <f>MATCH(P2,'All LKO plans'!$B$2:$AG$2,0)</f>
        <v>15</v>
      </c>
      <c r="Q30">
        <f>MATCH(Q2,'All LKO plans'!$B$2:$AG$2,0)</f>
        <v>16</v>
      </c>
      <c r="R30">
        <f>MATCH(R2,'All LKO plans'!$B$2:$AG$2,0)</f>
        <v>17</v>
      </c>
      <c r="S30">
        <f>MATCH(S2,'All LKO plans'!$B$2:$AG$2,0)</f>
        <v>18</v>
      </c>
      <c r="T30">
        <f>MATCH(T2,'All LKO plans'!$B$2:$AG$2,0)</f>
        <v>19</v>
      </c>
      <c r="W30">
        <f>MATCH(W2,'All LKO plans'!$B$2:$AG$2,0)</f>
        <v>22</v>
      </c>
      <c r="X30">
        <f>MATCH(X2,'All LKO plans'!$B$2:$AG$2,0)</f>
        <v>23</v>
      </c>
      <c r="Y30">
        <f>MATCH(Y2,'All LKO plans'!$B$2:$AG$2,0)</f>
        <v>24</v>
      </c>
      <c r="Z30">
        <f>MATCH(Z2,'All LKO plans'!$B$2:$AG$2,0)</f>
        <v>25</v>
      </c>
      <c r="AA30">
        <f>MATCH(AA2,'All LKO plans'!$B$2:$AG$2,0)</f>
        <v>26</v>
      </c>
      <c r="AB30">
        <f>MATCH(AB2,'All LKO plans'!$B$2:$AG$2,0)</f>
        <v>27</v>
      </c>
      <c r="AC30">
        <f>MATCH(AC2,'All LKO plans'!$B$2:$AG$2,0)</f>
        <v>28</v>
      </c>
      <c r="AD30">
        <f>MATCH(AD2,'All LKO plans'!$B$2:$AG$2,0)</f>
        <v>29</v>
      </c>
      <c r="AE30">
        <f>MATCH(AE2,'All LKO plans'!$B$2:$AG$2,0)</f>
        <v>30</v>
      </c>
      <c r="AF30">
        <f>MATCH(AF2,'All LKO plans'!$B$2:$AG$2,0)</f>
        <v>31</v>
      </c>
      <c r="AG30">
        <f>MATCH(AG2,'All LKO plans'!$B$2:$AG$2,0)</f>
        <v>32</v>
      </c>
    </row>
  </sheetData>
  <autoFilter ref="A2:AG12" xr:uid="{6D0331D0-6E7E-49E3-BC4A-085FFCC913D9}"/>
  <mergeCells count="5">
    <mergeCell ref="T22:AA22"/>
    <mergeCell ref="T23:AA23"/>
    <mergeCell ref="T24:AA24"/>
    <mergeCell ref="T25:AA25"/>
    <mergeCell ref="A1:AG1"/>
  </mergeCells>
  <conditionalFormatting sqref="AB3:AC20">
    <cfRule type="cellIs" dxfId="1" priority="1" operator="greaterThan">
      <formula>0</formula>
    </cfRule>
    <cfRule type="cellIs" dxfId="0" priority="2" operator="lessThan">
      <formula>0</formula>
    </cfRule>
  </conditionalFormatting>
  <hyperlinks>
    <hyperlink ref="C3" r:id="rId1" display="https://tempo-sp.com/vault/files/Tempo_SG_LKO_Aug18_Brochure_FINAL.pdf" xr:uid="{18B5DA33-A3AD-489E-9E92-99332CCB4199}"/>
    <hyperlink ref="E3" r:id="rId2" display="https://tempo-sp.com/vault/files/Tempo_Issue-2_LKO2_Maturity-performance-and-comparison.pdf" xr:uid="{CD787090-7A16-49BB-9D85-188E72A03958}"/>
    <hyperlink ref="C4" r:id="rId3" display="https://tempo-sp.com/vault/files/Tempo_LKO_Brochure_Oct18.pdf" xr:uid="{8D810FE8-4756-4211-9AB1-038BF371E3C0}"/>
    <hyperlink ref="E4" r:id="rId4" display="https://tempo-sp.com/vault/files/Tempo_Issue-3_LKO2_Maturity-performance-and-comparison.pdf" xr:uid="{F785AC31-C048-4AC1-B862-7BED5365A51D}"/>
    <hyperlink ref="C5" r:id="rId5" display="https://tempo-sp.com/vault/files/Tempo_LKO_Brochure_Dec2018.pdf" xr:uid="{4F95A4C6-348F-496E-9F00-F482145FB910}"/>
    <hyperlink ref="E5" r:id="rId6" display="https://tempo-sp.com/vault/files/Tempo_Issue-4_LKO2_Maturity-performance-and-comparison-1.pdf" xr:uid="{2062B2B1-6B87-4FBE-AFB7-935A8C00AB40}"/>
    <hyperlink ref="C6" r:id="rId7" display="https://tempo-sp.com/vault/files/Tempo_LKO_Brochure_Feb19.pdf" xr:uid="{AE4656FA-ED4C-4D32-AB60-4743312342E3}"/>
    <hyperlink ref="E6" r:id="rId8" display="https://tempo-sp.com/vault/files/Tempo_Issue-5_LKO2_Maturity-performance-and-comparison.pdf" xr:uid="{E74665F3-939E-4F3D-9651-716F18B8369D}"/>
    <hyperlink ref="C7" r:id="rId9" display="https://tempo-sp.com/vault/files/Tempo_LKO_Brochure_Feb20-1.pdf" xr:uid="{98157FF0-82E1-42AB-A2B8-F586580F8393}"/>
    <hyperlink ref="E7" r:id="rId10" display="https://tempo-sp.com/vault/files/Tempo_Issue-11_LKO2_Maturity-performance-and-comparison.pdf" xr:uid="{5EC0C365-1333-491F-BDD5-B694CE53F7E9}"/>
    <hyperlink ref="D7" r:id="rId11" display="https://tempo-sp.com/vault/files/Tempo_LKO_IfThen_Opt2_Feb20.pdf" xr:uid="{1DAFE642-7514-4646-89A3-20BFB243247F}"/>
    <hyperlink ref="C8" r:id="rId12" display="https://tempo-sp.com/vault/files/Tempo_LKO_Brochure_Apr20.pdf" xr:uid="{54BF72D9-AF22-4C27-9754-CAF556E93303}"/>
    <hyperlink ref="E8" r:id="rId13" display="https://tempo-sp.com/vault/files/Tempo_Issue-12_LKO1_Maturity-performance-and-comparison.pdf" xr:uid="{8589497B-894B-4EC4-80A7-9F2586F4FE30}"/>
    <hyperlink ref="D8" r:id="rId14" display="https://tempo-sp.com/vault/files/Tempo_LKO_IfThen_Opt1_Apr20.pdf" xr:uid="{C2CA98EC-E7F1-4388-B154-CB873CD72441}"/>
    <hyperlink ref="C9" r:id="rId15" display="https://tempo-sp.com/vault/files/Tempo_LKO_Brochure_June20.pdf" xr:uid="{0D3CB760-95DB-4CE9-8C8F-9FD99B48DB1B}"/>
    <hyperlink ref="C10" r:id="rId16" display="https://tempo-sp.com/vault/files/Tempo_LKO_Brochure_June20.pdf" xr:uid="{A7789779-21D4-44ED-8EC4-BA241587DD7F}"/>
    <hyperlink ref="E9" r:id="rId17" display="https://tempo-sp.com/vault/files/Tempo_Issue-13_LKO1_Maturity-performance-and-comparison.pdf" xr:uid="{E5B5F67B-B2A8-4368-A7AA-6AA4D05F5549}"/>
    <hyperlink ref="E10" r:id="rId18" display="https://tempo-sp.com/vault/files/Tempo_Issue-13_LKO2_Maturity-performance-and-comparison.pdf" xr:uid="{1138FF16-17FE-4BE1-8EAB-A2EF4FE1AA9C}"/>
    <hyperlink ref="D9" r:id="rId19" display="https://tempo-sp.com/vault/files/Tempo_LKO_Opt1_IfThen_June2020.pdf" xr:uid="{644227B6-59C4-4918-86DF-C544BE2EF64C}"/>
    <hyperlink ref="D10" r:id="rId20" display="https://tempo-sp.com/vault/files/Tempo_LKO_Opt2_IfThen_June2020.pdf" xr:uid="{4F64F25A-9BAF-41AA-B347-9CE338B2062A}"/>
    <hyperlink ref="C11" r:id="rId21" display="https://tempo-sp.com/vault/files/Tempo_LKO_Brochure_June20_PART2-1.pdf" xr:uid="{90C15059-34F6-4C56-B477-42227E302238}"/>
    <hyperlink ref="E11" r:id="rId22" display="https://tempo-sp.com/vault/files/Tempo_Issue-13.2_LKO2_Maturity-performance-and-comparison.pdf" xr:uid="{93ABD77B-AB09-4816-A2E0-DBE3D42526D8}"/>
    <hyperlink ref="D11" r:id="rId23" display="https://tempo-sp.com/vault/files/Tempo_LKO_Opt2_IfThen_June20_PART2.pdf" xr:uid="{DC5FF677-24DF-4E99-B593-B4FE001983E8}"/>
    <hyperlink ref="E12" r:id="rId24" display="https://tempo-sp.com/vault/files/Tempo_BLKO2_Maturity-performance-and-comparison.pdf" xr:uid="{71A268F6-F133-4804-A8F8-EEFE69753421}"/>
    <hyperlink ref="C12" r:id="rId25" display="https://tempo-sp.com/vault/files/Tempo_Bespoke_LKO_Opt2_Brochure_June20.pdf" xr:uid="{175A0AD6-383D-4C6B-8A0A-B32D91DDA7C6}"/>
    <hyperlink ref="D12" r:id="rId26" display="https://tempo-sp.com/vault/files/Tempo_Bespoke_LKO_Opt2_IfThen_June20.pdf" xr:uid="{7AB7C8B7-203D-4634-BEAA-C750A50E5FC8}"/>
    <hyperlink ref="C13" r:id="rId27" display="https://tempo-sp.com/vault/files/Tempo_LKO_Brochure_July20.pdf" xr:uid="{93500556-8893-4E2C-A137-D0C17411E4ED}"/>
    <hyperlink ref="C14" r:id="rId28" display="https://tempo-sp.com/vault/files/Tempo_LKO_Brochure_July20.pdf" xr:uid="{B0293BE2-247E-44B6-937E-6096DE13C41F}"/>
    <hyperlink ref="D13" r:id="rId29" display="https://tempo-sp.com/vault/files/Tempo_LKO_Opt1_IfThen_July20.pdf" xr:uid="{D34464D2-DEB2-4286-9153-CE5862800702}"/>
    <hyperlink ref="D14" r:id="rId30" display="https://tempo-sp.com/vault/files/Tempo_LKO_Opt2_IfThen_July20.pdf" xr:uid="{A4329FB0-FF77-4F9E-A668-68B04C899574}"/>
    <hyperlink ref="E13" r:id="rId31" display="https://tempo-sp.com/vault/files/Tempo_Issue-14_LKO1_Maturity-performance-and-comparison.pdf" xr:uid="{22881ECA-F549-449C-9445-050B0661AC90}"/>
    <hyperlink ref="E14" r:id="rId32" display="https://tempo-sp.com/vault/files/Tempo_Issue-14_LKO2_Maturity-performance-and-comparison.pdf" xr:uid="{5B243F93-5EF8-4A60-B2C7-0A49C980ECB3}"/>
    <hyperlink ref="C15" r:id="rId33" xr:uid="{AC4CB4CF-2F89-4E96-925D-1C29407D647A}"/>
    <hyperlink ref="C16" r:id="rId34" xr:uid="{038F9F79-F305-4955-9CF3-B87DC841CFD1}"/>
    <hyperlink ref="D16" r:id="rId35" xr:uid="{32114998-70A9-45BD-B67C-C5E21C5774C5}"/>
    <hyperlink ref="D15" r:id="rId36" xr:uid="{9D253CF4-7DA8-4B1B-9778-CC138F883F29}"/>
    <hyperlink ref="E15" r:id="rId37" xr:uid="{06CD35B6-1F88-4FFA-87F5-AA710ED60BAC}"/>
    <hyperlink ref="E16" r:id="rId38" xr:uid="{160F5DB1-2D68-4844-96AD-162133A894DF}"/>
    <hyperlink ref="C17" r:id="rId39" display="https://tempo-sp.com/vault/files/Tempo_LKO_Brochure_Apr19-1.pdf" xr:uid="{3A1B24C1-2FC0-488A-8243-631A54D88313}"/>
    <hyperlink ref="E17" r:id="rId40" xr:uid="{B224D679-5106-4A5F-8345-EC7A4E76D398}"/>
    <hyperlink ref="C18" r:id="rId41" xr:uid="{CEB19AC2-9CCC-4DE5-B5DC-366A9FBEE8B1}"/>
    <hyperlink ref="E18" r:id="rId42" xr:uid="{F3B6138C-6EAC-449B-B868-B5FAA58DFA03}"/>
    <hyperlink ref="C20" r:id="rId43" xr:uid="{6755C906-C63F-4B99-8EA8-0195F97AF0D0}"/>
    <hyperlink ref="E20" r:id="rId44" xr:uid="{472B5392-FD24-4D6F-A67B-74561DB693C6}"/>
    <hyperlink ref="D20" r:id="rId45" xr:uid="{2481F6C9-0DB6-440A-AF83-7D83D6654CD6}"/>
    <hyperlink ref="D20" r:id="rId46" xr:uid="{195E4A27-B18C-4A0E-8F6B-4D14B60EE488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65aeb68-82be-48ef-adad-af334f718bee" xsi:nil="true"/>
    <lcf76f155ced4ddcb4097134ff3c332f xmlns="deee6cd5-46cb-4cac-8c00-6c30d7b3b8fe">
      <Terms xmlns="http://schemas.microsoft.com/office/infopath/2007/PartnerControls"/>
    </lcf76f155ced4ddcb4097134ff3c332f>
    <SharedWithUsers xmlns="0b2ab4cf-377c-47b5-9bbc-af5f2910e1e5">
      <UserInfo>
        <DisplayName>James Chu</DisplayName>
        <AccountId>52791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4C982925FC3C499C39974D72AC307E" ma:contentTypeVersion="18" ma:contentTypeDescription="Create a new document." ma:contentTypeScope="" ma:versionID="00d19573e0721cf4ad16a75106f518e8">
  <xsd:schema xmlns:xsd="http://www.w3.org/2001/XMLSchema" xmlns:xs="http://www.w3.org/2001/XMLSchema" xmlns:p="http://schemas.microsoft.com/office/2006/metadata/properties" xmlns:ns2="deee6cd5-46cb-4cac-8c00-6c30d7b3b8fe" xmlns:ns3="0b2ab4cf-377c-47b5-9bbc-af5f2910e1e5" xmlns:ns4="e65aeb68-82be-48ef-adad-af334f718bee" targetNamespace="http://schemas.microsoft.com/office/2006/metadata/properties" ma:root="true" ma:fieldsID="c4916b39329307834086a97953eea594" ns2:_="" ns3:_="" ns4:_="">
    <xsd:import namespace="deee6cd5-46cb-4cac-8c00-6c30d7b3b8fe"/>
    <xsd:import namespace="0b2ab4cf-377c-47b5-9bbc-af5f2910e1e5"/>
    <xsd:import namespace="e65aeb68-82be-48ef-adad-af334f718b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4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ee6cd5-46cb-4cac-8c00-6c30d7b3b8f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f1a0b3-0786-4de0-ab7c-2eebc76cd89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2ab4cf-377c-47b5-9bbc-af5f2910e1e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65aeb68-82be-48ef-adad-af334f718bee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33e0a577-5e7b-42b2-8db4-3d436dac0d2d}" ma:internalName="TaxCatchAll" ma:showField="CatchAllData" ma:web="e65aeb68-82be-48ef-adad-af334f718be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CD58B3C-A11D-47DE-A70D-0CA90F85239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E18C7B-DD58-4432-82D9-4FBCD3C5554B}">
  <ds:schemaRefs>
    <ds:schemaRef ds:uri="http://schemas.microsoft.com/office/2006/metadata/properties"/>
    <ds:schemaRef ds:uri="http://schemas.microsoft.com/office/infopath/2007/PartnerControls"/>
    <ds:schemaRef ds:uri="e65aeb68-82be-48ef-adad-af334f718bee"/>
    <ds:schemaRef ds:uri="deee6cd5-46cb-4cac-8c00-6c30d7b3b8fe"/>
    <ds:schemaRef ds:uri="0b2ab4cf-377c-47b5-9bbc-af5f2910e1e5"/>
  </ds:schemaRefs>
</ds:datastoreItem>
</file>

<file path=customXml/itemProps3.xml><?xml version="1.0" encoding="utf-8"?>
<ds:datastoreItem xmlns:ds="http://schemas.openxmlformats.org/officeDocument/2006/customXml" ds:itemID="{EB30CB0E-1F74-41F9-813A-1586E8F0E1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ee6cd5-46cb-4cac-8c00-6c30d7b3b8fe"/>
    <ds:schemaRef ds:uri="0b2ab4cf-377c-47b5-9bbc-af5f2910e1e5"/>
    <ds:schemaRef ds:uri="e65aeb68-82be-48ef-adad-af334f718b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3796f52-1632-494d-a1dd-4e8e16122e66}" enabled="1" method="Standard" siteId="{8d293174-0f56-4e0a-915f-798ab3e5873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Summary of performance</vt:lpstr>
      <vt:lpstr>Summary of risk return profiles</vt:lpstr>
      <vt:lpstr>Summary of alpha</vt:lpstr>
      <vt:lpstr>All LKO plans</vt:lpstr>
      <vt:lpstr>LKO &gt;100% of start level</vt:lpstr>
      <vt:lpstr>LKO &gt;100% summary</vt:lpstr>
      <vt:lpstr>LKO &gt;90% of start level</vt:lpstr>
      <vt:lpstr>LKO &gt;90% summary</vt:lpstr>
      <vt:lpstr>LKO &gt;30%-82.5% of start level</vt:lpstr>
      <vt:lpstr>LKO &gt;30%-82.5% summary</vt:lpstr>
      <vt:lpstr>LIP</vt:lpstr>
      <vt:lpstr>LGKO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Cian Bell</dc:creator>
  <cp:keywords/>
  <dc:description/>
  <cp:lastModifiedBy>James Chu</cp:lastModifiedBy>
  <cp:revision/>
  <dcterms:created xsi:type="dcterms:W3CDTF">2023-05-09T14:25:57Z</dcterms:created>
  <dcterms:modified xsi:type="dcterms:W3CDTF">2024-09-03T16:30:02Z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0x010100D04C982925FC3C499C39974D72AC307E</vt:lpwstr>
  </property>
  <property fmtid="{D5CDD505-2E9C-101B-9397-08002B2CF9AE}" pid="3" name="MediaServiceImageTags">
    <vt:lpwstr/>
  </property>
</Properties>
</file>